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CI. JUAN\COSA. 2T 2026\3- COSA 2T 2026\"/>
    </mc:Choice>
  </mc:AlternateContent>
  <xr:revisionPtr revIDLastSave="0" documentId="13_ncr:1_{DB97EF2D-82E3-49DF-8F51-15D70C67D4B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</externalReference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14" l="1"/>
  <c r="D57" i="14"/>
  <c r="D56" i="14"/>
  <c r="D55" i="14"/>
  <c r="D54" i="14"/>
  <c r="D53" i="14"/>
  <c r="D52" i="14"/>
  <c r="D51" i="14"/>
  <c r="D50" i="14"/>
  <c r="D49" i="14"/>
  <c r="D48" i="14"/>
  <c r="D47" i="14"/>
  <c r="D45" i="14"/>
  <c r="D44" i="14"/>
  <c r="D39" i="14"/>
  <c r="D38" i="14"/>
  <c r="D37" i="14"/>
  <c r="D34" i="14"/>
  <c r="D32" i="14"/>
  <c r="D26" i="14"/>
  <c r="D25" i="14"/>
  <c r="D22" i="14"/>
  <c r="D20" i="14"/>
  <c r="D19" i="14"/>
  <c r="D18" i="14"/>
  <c r="D17" i="14"/>
  <c r="D15" i="14"/>
  <c r="D14" i="14"/>
  <c r="D13" i="14"/>
  <c r="D12" i="14"/>
  <c r="D11" i="14"/>
  <c r="D10" i="14"/>
  <c r="D9" i="14"/>
  <c r="D8" i="14"/>
  <c r="D7" i="14"/>
  <c r="D4" i="1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M66" i="1" l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0" i="1"/>
  <c r="M17" i="1"/>
  <c r="M16" i="1"/>
  <c r="M15" i="1"/>
  <c r="M14" i="1"/>
  <c r="M13" i="1"/>
  <c r="M12" i="1"/>
  <c r="M11" i="1"/>
  <c r="M10" i="1"/>
  <c r="M9" i="1"/>
  <c r="M8" i="1"/>
  <c r="C60" i="14" l="1"/>
  <c r="C57" i="14"/>
  <c r="C56" i="14"/>
  <c r="C55" i="14"/>
  <c r="C54" i="14"/>
  <c r="C53" i="14"/>
  <c r="C52" i="14"/>
  <c r="C51" i="14"/>
  <c r="C50" i="14"/>
  <c r="C49" i="14"/>
  <c r="C47" i="14"/>
  <c r="C48" i="14"/>
  <c r="C45" i="14"/>
  <c r="C44" i="14"/>
  <c r="C39" i="14"/>
  <c r="C38" i="14"/>
  <c r="C37" i="14"/>
  <c r="C34" i="14"/>
  <c r="C32" i="14"/>
  <c r="C26" i="14"/>
  <c r="C25" i="14"/>
  <c r="C22" i="14"/>
  <c r="C20" i="14"/>
  <c r="C18" i="14"/>
  <c r="C19" i="14"/>
  <c r="C17" i="14"/>
  <c r="C15" i="14"/>
  <c r="C14" i="14"/>
  <c r="C13" i="14"/>
  <c r="C12" i="14"/>
  <c r="C11" i="14"/>
  <c r="C10" i="14"/>
  <c r="C9" i="14"/>
  <c r="C8" i="14"/>
  <c r="C7" i="14"/>
  <c r="C4" i="14"/>
  <c r="O66" i="1"/>
  <c r="G66" i="1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 l="1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<sst xmlns="http://schemas.openxmlformats.org/spreadsheetml/2006/main" count="1488" uniqueCount="393">
  <si>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</si>
  <si>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</si>
  <si>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</si>
  <si>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</si>
  <si>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</si>
  <si>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</si>
  <si>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</si>
  <si>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</si>
  <si>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</si>
  <si>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</si>
  <si>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</si>
  <si>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</si>
  <si>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</si>
  <si>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</si>
  <si>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</si>
  <si>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</si>
  <si>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</si>
  <si>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</si>
  <si>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</si>
  <si>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</si>
  <si>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</si>
  <si>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</si>
  <si>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</si>
  <si>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</si>
  <si>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</si>
  <si>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</si>
  <si>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</si>
  <si>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</si>
  <si>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</si>
  <si>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</si>
  <si>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</si>
  <si>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</si>
  <si>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</si>
  <si>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</si>
  <si>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</si>
  <si>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</si>
  <si>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</si>
  <si>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</si>
  <si>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</si>
  <si>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</si>
  <si>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</si>
  <si>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</si>
  <si>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</si>
  <si>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</si>
  <si>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</si>
  <si>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</si>
  <si>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</si>
  <si>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</si>
  <si>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</si>
  <si>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</si>
  <si>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</si>
  <si>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</si>
  <si>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</si>
  <si>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</si>
  <si>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</si>
  <si>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</si>
  <si>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</si>
  <si>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</si>
  <si>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</si>
  <si>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</si>
  <si>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</si>
  <si>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</si>
  <si>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</si>
  <si>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</si>
  <si>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</si>
  <si>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</si>
  <si>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</si>
  <si>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</si>
  <si>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</si>
  <si>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</si>
  <si>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</si>
  <si>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</si>
  <si>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</si>
  <si>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</si>
  <si>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</si>
  <si>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</si>
  <si>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</si>
  <si>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</si>
  <si>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</si>
  <si>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</si>
  <si>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</si>
  <si>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</si>
  <si>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</si>
  <si>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</si>
  <si>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</si>
  <si>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</si>
  <si>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</si>
  <si>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</si>
  <si>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</si>
  <si>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</si>
  <si>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</si>
  <si>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</si>
  <si>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</si>
  <si>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</si>
  <si>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</si>
  <si>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</si>
  <si>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</si>
  <si>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</si>
  <si>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</si>
  <si>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</si>
  <si>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</si>
  <si>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</si>
  <si>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</si>
  <si>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</si>
  <si>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</si>
  <si>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</si>
  <si>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</si>
  <si>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</si>
  <si>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</si>
  <si>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</si>
  <si>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</si>
  <si>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</si>
  <si>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</si>
  <si>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</si>
  <si>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</si>
  <si>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</si>
  <si>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</si>
  <si>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</si>
  <si>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</si>
  <si>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</si>
  <si>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</si>
  <si>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</si>
  <si>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</si>
  <si>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</si>
  <si>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</si>
  <si>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</si>
  <si>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</si>
  <si>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</si>
  <si>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</si>
  <si>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</si>
  <si>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</si>
  <si>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</si>
  <si>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</si>
  <si>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</si>
  <si>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</si>
  <si>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</si>
  <si>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</si>
  <si>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</si>
  <si>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</si>
  <si>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</si>
  <si>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</si>
  <si>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</si>
  <si>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</si>
  <si>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</si>
  <si>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</si>
  <si>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</si>
  <si>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</si>
  <si>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</si>
  <si>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</si>
  <si>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</si>
  <si>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</si>
  <si>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</si>
  <si>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</si>
  <si>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</si>
  <si>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</si>
  <si>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</si>
  <si>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</si>
  <si>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</si>
  <si>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</si>
  <si>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</si>
  <si>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</si>
  <si>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</si>
  <si>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</si>
  <si>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</si>
  <si>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</si>
  <si>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</si>
  <si>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</si>
  <si>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</si>
  <si>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</si>
  <si>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</si>
  <si>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</si>
  <si>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</si>
  <si>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</si>
  <si>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</si>
  <si>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</si>
  <si>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</si>
  <si>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</si>
  <si>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</si>
  <si>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</si>
  <si>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</si>
  <si>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</si>
  <si>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</si>
  <si>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</si>
  <si>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</si>
  <si>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</si>
  <si>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</si>
  <si>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</si>
  <si>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</si>
  <si>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</si>
  <si>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</si>
  <si>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</si>
  <si>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</si>
  <si>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</si>
  <si>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</si>
  <si>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</si>
  <si>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</si>
  <si>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</si>
  <si>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</si>
  <si>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</si>
  <si>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</si>
  <si>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</si>
  <si>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</si>
  <si>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</si>
  <si>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</si>
  <si>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</si>
  <si>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</si>
  <si>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</si>
  <si>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</si>
  <si>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</si>
  <si>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</si>
  <si>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</si>
  <si>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</si>
  <si>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</si>
  <si>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CAJERO</t>
  </si>
  <si>
    <t>ADMINISTRATIVA Y CONTBLE</t>
  </si>
  <si>
    <t>ALBERTO DE JESUS</t>
  </si>
  <si>
    <t>ALEGRIA</t>
  </si>
  <si>
    <t>BRAVO</t>
  </si>
  <si>
    <t>PESOS MEXICANOS</t>
  </si>
  <si>
    <t>ADMINISTRATIVA Y CONTABLE</t>
  </si>
  <si>
    <t>AUXILIAR OPERATIVO DEL AREA COMERCIAL</t>
  </si>
  <si>
    <t>COMERCIAL</t>
  </si>
  <si>
    <t>JOSE EDUARDO</t>
  </si>
  <si>
    <t>AMADOR</t>
  </si>
  <si>
    <t>HONORATO</t>
  </si>
  <si>
    <t>JEFA DE OFICINA</t>
  </si>
  <si>
    <t>DIRECCION</t>
  </si>
  <si>
    <t>MARIA ISABEL</t>
  </si>
  <si>
    <t>ARMAS</t>
  </si>
  <si>
    <t>GUZMAN</t>
  </si>
  <si>
    <t>AYUDANTE DE BRIGADA DE DRENAJE SANITARIO</t>
  </si>
  <si>
    <t>OPERACIÓN Y MANTENIMIENTO</t>
  </si>
  <si>
    <t>IVAN</t>
  </si>
  <si>
    <t>BARRANCA</t>
  </si>
  <si>
    <t>LINALDI</t>
  </si>
  <si>
    <t>AUXILIAR ELECTROMECANICO</t>
  </si>
  <si>
    <t>CARLOS</t>
  </si>
  <si>
    <t>CALVO</t>
  </si>
  <si>
    <t>AYALA</t>
  </si>
  <si>
    <t>FONTANERO</t>
  </si>
  <si>
    <t>MARIO ARTURO</t>
  </si>
  <si>
    <t xml:space="preserve">CARAVEO </t>
  </si>
  <si>
    <t>CARRILLO</t>
  </si>
  <si>
    <t>ENCARGADO SECCION CONTROL DE CALIDAD</t>
  </si>
  <si>
    <t>HUGO FERNANDO</t>
  </si>
  <si>
    <t>SUAREZ</t>
  </si>
  <si>
    <t>AUXILIR ADMINISTRATIVO</t>
  </si>
  <si>
    <t>SERGIO</t>
  </si>
  <si>
    <t>CAZARIN</t>
  </si>
  <si>
    <t>CANO</t>
  </si>
  <si>
    <t>AUXILIAR ADMINISTRATIVO</t>
  </si>
  <si>
    <t>DIEGO ADRIAN</t>
  </si>
  <si>
    <t>CORTES</t>
  </si>
  <si>
    <t>SALOMON</t>
  </si>
  <si>
    <t>EFREN</t>
  </si>
  <si>
    <t>CRUZ</t>
  </si>
  <si>
    <t>VICTOR</t>
  </si>
  <si>
    <t>FELIPE</t>
  </si>
  <si>
    <t>ROMERO</t>
  </si>
  <si>
    <t>SUBDIRECTOR TECNICO OPERACIÓN Y MANTENIMIENTO</t>
  </si>
  <si>
    <t>DELGADO</t>
  </si>
  <si>
    <t>TRUJILLO</t>
  </si>
  <si>
    <t>ANDRES</t>
  </si>
  <si>
    <t>DOLORES</t>
  </si>
  <si>
    <t>ALFONSIN</t>
  </si>
  <si>
    <t>AUXILIAR DE CONTABILIDAD</t>
  </si>
  <si>
    <t>MARIA JOSE</t>
  </si>
  <si>
    <t>DOMINGUEZ</t>
  </si>
  <si>
    <t>AUXILIAR ADMINISTRATIVO DEL AREA COMERCIAL</t>
  </si>
  <si>
    <t>LOURDES</t>
  </si>
  <si>
    <t>VERGARA</t>
  </si>
  <si>
    <t>AYUDANTE DE FONTANERO</t>
  </si>
  <si>
    <t>ESPINOZA</t>
  </si>
  <si>
    <t>VARGAS</t>
  </si>
  <si>
    <t>LUIS CARLOS</t>
  </si>
  <si>
    <t xml:space="preserve">ESTRADA </t>
  </si>
  <si>
    <t>BELLO</t>
  </si>
  <si>
    <t>SECRETARIA</t>
  </si>
  <si>
    <t>ILIANA</t>
  </si>
  <si>
    <t>FENTANES</t>
  </si>
  <si>
    <t>MIRANDA</t>
  </si>
  <si>
    <t>AUXILIAR ADMINISTRATIVO ALMACEN</t>
  </si>
  <si>
    <t>LETICIA</t>
  </si>
  <si>
    <t>FERRER</t>
  </si>
  <si>
    <t>DIAZ</t>
  </si>
  <si>
    <t>GABRIEL</t>
  </si>
  <si>
    <t>FIGUEROA</t>
  </si>
  <si>
    <t>CHAVEZ</t>
  </si>
  <si>
    <t>ALBAÑIL</t>
  </si>
  <si>
    <t>ISABEL TEOFILO</t>
  </si>
  <si>
    <t>FLORES</t>
  </si>
  <si>
    <t>JOSE MIGUEL</t>
  </si>
  <si>
    <t>GARRIDO</t>
  </si>
  <si>
    <t>FRANCISCO DE JESUS</t>
  </si>
  <si>
    <t>MARTINEZ</t>
  </si>
  <si>
    <t>PEON GENERAL</t>
  </si>
  <si>
    <t>JOSE MANUEL</t>
  </si>
  <si>
    <t>FRANK</t>
  </si>
  <si>
    <t>LARA</t>
  </si>
  <si>
    <t>ENCARGADA DE RECUPERACION DE REZAGO</t>
  </si>
  <si>
    <t>FERNANDA MICHAEL</t>
  </si>
  <si>
    <t>GARCIA</t>
  </si>
  <si>
    <t>COBOS</t>
  </si>
  <si>
    <t>JORGE LUIS</t>
  </si>
  <si>
    <t>GARMENDIA</t>
  </si>
  <si>
    <t>CONTRERAS</t>
  </si>
  <si>
    <t>AUXILIAR COMERCIAL</t>
  </si>
  <si>
    <t>JESUS ROGELIO</t>
  </si>
  <si>
    <t>HERNANDEZ</t>
  </si>
  <si>
    <t>DELFIN</t>
  </si>
  <si>
    <t>ENCARGADA DEL DEPARTAMENTO DE MEDICION Y FACTURACION</t>
  </si>
  <si>
    <t>LORENA</t>
  </si>
  <si>
    <t>ALEJANDRO</t>
  </si>
  <si>
    <t>HERERA</t>
  </si>
  <si>
    <t>LEON</t>
  </si>
  <si>
    <t>ENCARGADA DE CONTRATACION Y ATENCION DE ATENCION A USUARIOS</t>
  </si>
  <si>
    <t>BRENDA MARIA</t>
  </si>
  <si>
    <t>LIMON</t>
  </si>
  <si>
    <t>SANTIAGO</t>
  </si>
  <si>
    <t>ENCARGADA DE SISTEMA RURAL</t>
  </si>
  <si>
    <t>ANGELA</t>
  </si>
  <si>
    <t>LOPEZ</t>
  </si>
  <si>
    <t>MENDOZA</t>
  </si>
  <si>
    <t>AUXILIAR ADMINISTRATIVO AREA COMERCIAL</t>
  </si>
  <si>
    <t>GERARDO</t>
  </si>
  <si>
    <t>MORA</t>
  </si>
  <si>
    <t>JOSE FERNANDO</t>
  </si>
  <si>
    <t>MAGAÑA</t>
  </si>
  <si>
    <t>FRANCISCO JAVIER</t>
  </si>
  <si>
    <t>RODRIGUEZ</t>
  </si>
  <si>
    <t>GERMAN</t>
  </si>
  <si>
    <t>MOJICA</t>
  </si>
  <si>
    <t>ROJAS</t>
  </si>
  <si>
    <t>AUXILIAR DE ALBAÑIL</t>
  </si>
  <si>
    <t>USIEL JOSUE</t>
  </si>
  <si>
    <t>MOLINA</t>
  </si>
  <si>
    <t>FERNANDEZ</t>
  </si>
  <si>
    <t>ROSARIO</t>
  </si>
  <si>
    <t>SALAZAR</t>
  </si>
  <si>
    <t>PROCORO</t>
  </si>
  <si>
    <t>VAZQUEZ</t>
  </si>
  <si>
    <t xml:space="preserve">GABRIELA DEL CARMEN </t>
  </si>
  <si>
    <t>PEREZ</t>
  </si>
  <si>
    <t>SILVIA</t>
  </si>
  <si>
    <t>PIMENTEL</t>
  </si>
  <si>
    <t>TORRES</t>
  </si>
  <si>
    <t>CAJERA</t>
  </si>
  <si>
    <t>LAURA</t>
  </si>
  <si>
    <t>REYES</t>
  </si>
  <si>
    <t>SUBDIRECTOR COMERCIAL</t>
  </si>
  <si>
    <t>FERNANDO</t>
  </si>
  <si>
    <t>HERRERA</t>
  </si>
  <si>
    <t>OPERADOR DE BOMBA</t>
  </si>
  <si>
    <t>LUIS</t>
  </si>
  <si>
    <t>ROSADO</t>
  </si>
  <si>
    <t>BAUTISTA</t>
  </si>
  <si>
    <t>RAFAEL</t>
  </si>
  <si>
    <t>VILLEGAS</t>
  </si>
  <si>
    <t>INTENDENTE</t>
  </si>
  <si>
    <t>AMADA</t>
  </si>
  <si>
    <t>ENCARGADA DE SISTEMAS RURALES</t>
  </si>
  <si>
    <t>CLEOTILDE</t>
  </si>
  <si>
    <t xml:space="preserve">SANTIAGO </t>
  </si>
  <si>
    <t>OPERADOR DE EQUIPO DE BOMBEO</t>
  </si>
  <si>
    <t>JOSE RODOLFO</t>
  </si>
  <si>
    <t>USCANGA</t>
  </si>
  <si>
    <t>STEVE</t>
  </si>
  <si>
    <t>FABIAN</t>
  </si>
  <si>
    <t>RUBEN</t>
  </si>
  <si>
    <t>TAGLE</t>
  </si>
  <si>
    <t>RAMIREZ</t>
  </si>
  <si>
    <t>AUXILIAR DE BRIGADA DE DRENAJE SANITARIO</t>
  </si>
  <si>
    <t>OMAR</t>
  </si>
  <si>
    <t>ENCARGADA DE PADRON DE USUARIOS</t>
  </si>
  <si>
    <t>ROSA ISELA</t>
  </si>
  <si>
    <t>MARTHA PATRICIA</t>
  </si>
  <si>
    <t xml:space="preserve">DIANA LAURA </t>
  </si>
  <si>
    <t>ZAMUDIO</t>
  </si>
  <si>
    <t>MIGUEL ANGEL</t>
  </si>
  <si>
    <t>ZAPATA</t>
  </si>
  <si>
    <t>MELENDEZ</t>
  </si>
  <si>
    <t>OPERADOR DE EQUIPO DE DESAZOLVE</t>
  </si>
  <si>
    <t>MURILLO</t>
  </si>
  <si>
    <t>SALARIO BRUTO</t>
  </si>
  <si>
    <t>QUINCENAL</t>
  </si>
  <si>
    <t>ANUAL</t>
  </si>
  <si>
    <t>RETROACTIVO</t>
  </si>
  <si>
    <t>SUBDIRECTOR ADMINISTRATIVO</t>
  </si>
  <si>
    <t>NAVA</t>
  </si>
  <si>
    <t>CASTILLO</t>
  </si>
  <si>
    <t>INFORMACION CORRESPONDIENTE AL 2DO TRIMESTRE DE 2026 OFICINA OPERADORA DE COSAMALOAPAN</t>
  </si>
  <si>
    <t>CABO DE LIMPIA</t>
  </si>
  <si>
    <t>ESTIMULOS DIA DEL PADRE, DIA DE LA MADRE Y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</si>
</sst>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2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 vertical="center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9" fontId="0" fillId="0" borderId="0" xfId="1" applyNumberFormat="1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omaloapan/Downloads/VIIIa%20COS%201T%202026%20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>
        <row r="8">
          <cell r="S8">
            <v>8</v>
          </cell>
        </row>
        <row r="9">
          <cell r="S9">
            <v>9</v>
          </cell>
        </row>
        <row r="10">
          <cell r="S10">
            <v>10</v>
          </cell>
        </row>
        <row r="11">
          <cell r="S11">
            <v>11</v>
          </cell>
        </row>
        <row r="12">
          <cell r="S12">
            <v>12</v>
          </cell>
        </row>
        <row r="13">
          <cell r="S13">
            <v>13</v>
          </cell>
        </row>
        <row r="14">
          <cell r="S14">
            <v>14</v>
          </cell>
        </row>
        <row r="15">
          <cell r="S15">
            <v>15</v>
          </cell>
        </row>
        <row r="16">
          <cell r="S16">
            <v>16</v>
          </cell>
        </row>
        <row r="17">
          <cell r="S17">
            <v>17</v>
          </cell>
        </row>
        <row r="18">
          <cell r="S18">
            <v>18</v>
          </cell>
        </row>
        <row r="19">
          <cell r="S19">
            <v>19</v>
          </cell>
        </row>
        <row r="20">
          <cell r="S20">
            <v>20</v>
          </cell>
        </row>
        <row r="21">
          <cell r="S21">
            <v>21</v>
          </cell>
        </row>
        <row r="22">
          <cell r="S22">
            <v>22</v>
          </cell>
        </row>
        <row r="23">
          <cell r="S23">
            <v>23</v>
          </cell>
        </row>
        <row r="24">
          <cell r="S24">
            <v>24</v>
          </cell>
        </row>
        <row r="25">
          <cell r="S25">
            <v>25</v>
          </cell>
        </row>
        <row r="26">
          <cell r="S26">
            <v>26</v>
          </cell>
        </row>
        <row r="27">
          <cell r="S27">
            <v>27</v>
          </cell>
        </row>
        <row r="28">
          <cell r="S28">
            <v>28</v>
          </cell>
        </row>
        <row r="29">
          <cell r="S29">
            <v>29</v>
          </cell>
        </row>
        <row r="30">
          <cell r="S30">
            <v>30</v>
          </cell>
        </row>
        <row r="31">
          <cell r="S31">
            <v>31</v>
          </cell>
        </row>
        <row r="32">
          <cell r="S32">
            <v>32</v>
          </cell>
        </row>
        <row r="33">
          <cell r="S33">
            <v>33</v>
          </cell>
        </row>
        <row r="34">
          <cell r="S34">
            <v>34</v>
          </cell>
        </row>
        <row r="35">
          <cell r="S35">
            <v>35</v>
          </cell>
        </row>
        <row r="36">
          <cell r="S36">
            <v>36</v>
          </cell>
        </row>
        <row r="37">
          <cell r="S37">
            <v>37</v>
          </cell>
        </row>
        <row r="38">
          <cell r="S38">
            <v>38</v>
          </cell>
        </row>
        <row r="39">
          <cell r="S39">
            <v>39</v>
          </cell>
        </row>
        <row r="40">
          <cell r="S40">
            <v>40</v>
          </cell>
        </row>
        <row r="41">
          <cell r="S41">
            <v>41</v>
          </cell>
        </row>
        <row r="42">
          <cell r="S42">
            <v>42</v>
          </cell>
        </row>
        <row r="43">
          <cell r="S43">
            <v>43</v>
          </cell>
        </row>
        <row r="44">
          <cell r="S44">
            <v>44</v>
          </cell>
        </row>
        <row r="45">
          <cell r="S45">
            <v>45</v>
          </cell>
        </row>
        <row r="46">
          <cell r="S46">
            <v>46</v>
          </cell>
        </row>
        <row r="47">
          <cell r="S47">
            <v>47</v>
          </cell>
        </row>
        <row r="48">
          <cell r="S48">
            <v>48</v>
          </cell>
        </row>
        <row r="49">
          <cell r="S49">
            <v>49</v>
          </cell>
        </row>
        <row r="50">
          <cell r="S50">
            <v>50</v>
          </cell>
        </row>
        <row r="51">
          <cell r="S51">
            <v>51</v>
          </cell>
        </row>
        <row r="52">
          <cell r="S52">
            <v>52</v>
          </cell>
        </row>
        <row r="53">
          <cell r="S53">
            <v>53</v>
          </cell>
        </row>
        <row r="54">
          <cell r="S54">
            <v>54</v>
          </cell>
        </row>
        <row r="55">
          <cell r="S55">
            <v>55</v>
          </cell>
        </row>
        <row r="56">
          <cell r="S56">
            <v>56</v>
          </cell>
        </row>
        <row r="57">
          <cell r="S57">
            <v>57</v>
          </cell>
        </row>
        <row r="58">
          <cell r="S58">
            <v>58</v>
          </cell>
        </row>
        <row r="59">
          <cell r="S59">
            <v>59</v>
          </cell>
        </row>
        <row r="60">
          <cell r="S60">
            <v>60</v>
          </cell>
        </row>
        <row r="61">
          <cell r="S61">
            <v>61</v>
          </cell>
        </row>
        <row r="62">
          <cell r="S62">
            <v>62</v>
          </cell>
        </row>
        <row r="63">
          <cell r="S63">
            <v>63</v>
          </cell>
        </row>
        <row r="64">
          <cell r="S64">
            <v>64</v>
          </cell>
        </row>
        <row r="65">
          <cell r="S65">
            <v>65</v>
          </cell>
        </row>
        <row r="66">
          <cell r="S66">
            <v>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6"/>
  <sheetViews>
    <sheetView topLeftCell="A51" workbookViewId="0">
      <selection activeCell="D79" sqref="D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42" hidden="1" x14ac:dyDescent="0.25">
      <c r="A1" t="s">
        <v>0</v>
      </c>
    </row>
    <row r="2" spans="1:4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4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4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4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42" x14ac:dyDescent="0.25">
      <c r="A8">
        <v>2026</v>
      </c>
      <c r="B8" s="6">
        <v>46113</v>
      </c>
      <c r="C8" s="6">
        <v>46203</v>
      </c>
      <c r="D8" s="3" t="s">
        <v>84</v>
      </c>
      <c r="E8" s="3">
        <v>3</v>
      </c>
      <c r="F8" s="3" t="s">
        <v>213</v>
      </c>
      <c r="G8" s="3" t="str">
        <f>F8</f>
        <v>CAJERO</v>
      </c>
      <c r="H8" s="3" t="s">
        <v>214</v>
      </c>
      <c r="I8" s="3" t="s">
        <v>215</v>
      </c>
      <c r="J8" s="3" t="s">
        <v>216</v>
      </c>
      <c r="K8" s="3" t="s">
        <v>217</v>
      </c>
      <c r="L8" s="3" t="s">
        <v>91</v>
      </c>
      <c r="M8" s="8">
        <f>7008.91*2</f>
        <v>14017.82</v>
      </c>
      <c r="N8" s="3" t="s">
        <v>218</v>
      </c>
      <c r="O8" s="5">
        <v>13183.94</v>
      </c>
      <c r="P8" s="3" t="s">
        <v>218</v>
      </c>
      <c r="Q8" s="3">
        <v>8</v>
      </c>
      <c r="R8" s="3">
        <v>8</v>
      </c>
      <c r="S8" s="3">
        <v>8</v>
      </c>
      <c r="T8" s="3">
        <v>8</v>
      </c>
      <c r="U8" s="3">
        <v>8</v>
      </c>
      <c r="V8" s="3">
        <v>8</v>
      </c>
      <c r="W8" s="3">
        <v>8</v>
      </c>
      <c r="X8" s="3">
        <v>8</v>
      </c>
      <c r="Y8" s="3">
        <v>8</v>
      </c>
      <c r="Z8" s="3">
        <v>8</v>
      </c>
      <c r="AA8" s="3">
        <v>8</v>
      </c>
      <c r="AB8" s="3">
        <v>8</v>
      </c>
      <c r="AC8" s="3">
        <v>8</v>
      </c>
      <c r="AD8" s="3" t="s">
        <v>219</v>
      </c>
      <c r="AE8" s="6">
        <v>46203</v>
      </c>
      <c r="AF8" s="3" t="s">
        <v>390</v>
      </c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5">
      <c r="A9" s="4">
        <v>2026</v>
      </c>
      <c r="B9" s="6">
        <v>46113</v>
      </c>
      <c r="C9" s="6">
        <v>46203</v>
      </c>
      <c r="D9" s="3" t="s">
        <v>84</v>
      </c>
      <c r="E9" s="3">
        <v>5</v>
      </c>
      <c r="F9" s="3" t="s">
        <v>220</v>
      </c>
      <c r="G9" s="3" t="str">
        <f t="shared" ref="G9:G66" si="0">F9</f>
        <v>AUXILIAR OPERATIVO DEL AREA COMERCIAL</v>
      </c>
      <c r="H9" s="3" t="s">
        <v>221</v>
      </c>
      <c r="I9" s="3" t="s">
        <v>222</v>
      </c>
      <c r="J9" s="3" t="s">
        <v>223</v>
      </c>
      <c r="K9" s="3" t="s">
        <v>224</v>
      </c>
      <c r="L9" s="3" t="s">
        <v>91</v>
      </c>
      <c r="M9" s="8">
        <f>3660.09*2</f>
        <v>7320.18</v>
      </c>
      <c r="N9" s="3" t="s">
        <v>218</v>
      </c>
      <c r="O9" s="5">
        <v>5383.48</v>
      </c>
      <c r="P9" s="3" t="s">
        <v>218</v>
      </c>
      <c r="Q9" s="4">
        <v>9</v>
      </c>
      <c r="R9" s="4">
        <v>9</v>
      </c>
      <c r="S9" s="4">
        <v>9</v>
      </c>
      <c r="T9" s="4">
        <v>9</v>
      </c>
      <c r="U9" s="4">
        <v>9</v>
      </c>
      <c r="V9" s="4">
        <v>9</v>
      </c>
      <c r="W9" s="4">
        <v>9</v>
      </c>
      <c r="X9" s="4">
        <v>9</v>
      </c>
      <c r="Y9" s="4">
        <v>9</v>
      </c>
      <c r="Z9" s="4">
        <v>9</v>
      </c>
      <c r="AA9" s="4">
        <v>9</v>
      </c>
      <c r="AB9" s="4">
        <v>9</v>
      </c>
      <c r="AC9" s="4">
        <v>9</v>
      </c>
      <c r="AD9" s="3" t="s">
        <v>219</v>
      </c>
      <c r="AE9" s="6">
        <v>46203</v>
      </c>
      <c r="AF9" s="4" t="s">
        <v>390</v>
      </c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x14ac:dyDescent="0.25">
      <c r="A10" s="4">
        <v>2026</v>
      </c>
      <c r="B10" s="6">
        <v>46113</v>
      </c>
      <c r="C10" s="6">
        <v>46203</v>
      </c>
      <c r="D10" s="3" t="s">
        <v>88</v>
      </c>
      <c r="E10" s="3">
        <v>1</v>
      </c>
      <c r="F10" s="3" t="s">
        <v>225</v>
      </c>
      <c r="G10" s="3" t="str">
        <f t="shared" si="0"/>
        <v>JEFA DE OFICINA</v>
      </c>
      <c r="H10" s="3" t="s">
        <v>226</v>
      </c>
      <c r="I10" s="3" t="s">
        <v>227</v>
      </c>
      <c r="J10" s="3" t="s">
        <v>228</v>
      </c>
      <c r="K10" s="3" t="s">
        <v>229</v>
      </c>
      <c r="L10" s="3" t="s">
        <v>92</v>
      </c>
      <c r="M10" s="8">
        <f>18248.13*2</f>
        <v>36496.26</v>
      </c>
      <c r="N10" s="3" t="s">
        <v>218</v>
      </c>
      <c r="O10" s="5">
        <v>34355.660000000003</v>
      </c>
      <c r="P10" s="3" t="s">
        <v>218</v>
      </c>
      <c r="Q10" s="4">
        <v>10</v>
      </c>
      <c r="R10" s="4">
        <v>10</v>
      </c>
      <c r="S10" s="4">
        <v>10</v>
      </c>
      <c r="T10" s="4">
        <v>10</v>
      </c>
      <c r="U10" s="4">
        <v>10</v>
      </c>
      <c r="V10" s="4">
        <v>10</v>
      </c>
      <c r="W10" s="4">
        <v>10</v>
      </c>
      <c r="X10" s="4">
        <v>10</v>
      </c>
      <c r="Y10" s="4">
        <v>10</v>
      </c>
      <c r="Z10" s="4">
        <v>10</v>
      </c>
      <c r="AA10" s="4">
        <v>10</v>
      </c>
      <c r="AB10" s="4">
        <v>10</v>
      </c>
      <c r="AC10" s="4">
        <v>10</v>
      </c>
      <c r="AD10" s="3" t="s">
        <v>219</v>
      </c>
      <c r="AE10" s="6">
        <v>46203</v>
      </c>
      <c r="AF10" s="4" t="s">
        <v>390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x14ac:dyDescent="0.25">
      <c r="A11" s="4">
        <v>2026</v>
      </c>
      <c r="B11" s="6">
        <v>46113</v>
      </c>
      <c r="C11" s="6">
        <v>46203</v>
      </c>
      <c r="D11" s="3" t="s">
        <v>84</v>
      </c>
      <c r="E11" s="3">
        <v>5</v>
      </c>
      <c r="F11" s="3" t="s">
        <v>230</v>
      </c>
      <c r="G11" s="3" t="str">
        <f t="shared" si="0"/>
        <v>AYUDANTE DE BRIGADA DE DRENAJE SANITARIO</v>
      </c>
      <c r="H11" s="3" t="s">
        <v>231</v>
      </c>
      <c r="I11" s="3" t="s">
        <v>232</v>
      </c>
      <c r="J11" s="3" t="s">
        <v>233</v>
      </c>
      <c r="K11" s="3" t="s">
        <v>234</v>
      </c>
      <c r="L11" s="3" t="s">
        <v>91</v>
      </c>
      <c r="M11" s="8">
        <f>3373.17*2</f>
        <v>6746.34</v>
      </c>
      <c r="N11" s="3" t="s">
        <v>218</v>
      </c>
      <c r="O11" s="5">
        <v>5685.8</v>
      </c>
      <c r="P11" s="3" t="s">
        <v>218</v>
      </c>
      <c r="Q11" s="4">
        <v>11</v>
      </c>
      <c r="R11" s="4">
        <v>11</v>
      </c>
      <c r="S11" s="4">
        <v>11</v>
      </c>
      <c r="T11" s="4">
        <v>11</v>
      </c>
      <c r="U11" s="4">
        <v>11</v>
      </c>
      <c r="V11" s="4">
        <v>11</v>
      </c>
      <c r="W11" s="4">
        <v>11</v>
      </c>
      <c r="X11" s="4">
        <v>11</v>
      </c>
      <c r="Y11" s="4">
        <v>11</v>
      </c>
      <c r="Z11" s="4">
        <v>11</v>
      </c>
      <c r="AA11" s="4">
        <v>11</v>
      </c>
      <c r="AB11" s="4">
        <v>11</v>
      </c>
      <c r="AC11" s="4">
        <v>11</v>
      </c>
      <c r="AD11" s="3" t="s">
        <v>219</v>
      </c>
      <c r="AE11" s="6">
        <v>46203</v>
      </c>
      <c r="AF11" s="4" t="s">
        <v>390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x14ac:dyDescent="0.25">
      <c r="A12" s="4">
        <v>2026</v>
      </c>
      <c r="B12" s="6">
        <v>46113</v>
      </c>
      <c r="C12" s="6">
        <v>46203</v>
      </c>
      <c r="D12" s="3" t="s">
        <v>84</v>
      </c>
      <c r="E12" s="3">
        <v>5</v>
      </c>
      <c r="F12" s="3" t="s">
        <v>235</v>
      </c>
      <c r="G12" s="3" t="str">
        <f t="shared" si="0"/>
        <v>AUXILIAR ELECTROMECANICO</v>
      </c>
      <c r="H12" s="3" t="s">
        <v>231</v>
      </c>
      <c r="I12" s="3" t="s">
        <v>236</v>
      </c>
      <c r="J12" s="3" t="s">
        <v>237</v>
      </c>
      <c r="K12" s="3" t="s">
        <v>238</v>
      </c>
      <c r="L12" s="3" t="s">
        <v>91</v>
      </c>
      <c r="M12" s="8">
        <f>6387.1*2</f>
        <v>12774.2</v>
      </c>
      <c r="N12" s="3" t="s">
        <v>218</v>
      </c>
      <c r="O12" s="5">
        <v>9576.9599999999991</v>
      </c>
      <c r="P12" s="3" t="s">
        <v>218</v>
      </c>
      <c r="Q12" s="4">
        <v>12</v>
      </c>
      <c r="R12" s="4">
        <v>12</v>
      </c>
      <c r="S12" s="4">
        <v>12</v>
      </c>
      <c r="T12" s="4">
        <v>12</v>
      </c>
      <c r="U12" s="4">
        <v>12</v>
      </c>
      <c r="V12" s="4">
        <v>12</v>
      </c>
      <c r="W12" s="4">
        <v>12</v>
      </c>
      <c r="X12" s="4">
        <v>12</v>
      </c>
      <c r="Y12" s="4">
        <v>12</v>
      </c>
      <c r="Z12" s="4">
        <v>12</v>
      </c>
      <c r="AA12" s="4">
        <v>12</v>
      </c>
      <c r="AB12" s="4">
        <v>12</v>
      </c>
      <c r="AC12" s="4">
        <v>12</v>
      </c>
      <c r="AD12" s="3" t="s">
        <v>219</v>
      </c>
      <c r="AE12" s="6">
        <v>46203</v>
      </c>
      <c r="AF12" s="4" t="s">
        <v>390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25">
      <c r="A13" s="4">
        <v>2026</v>
      </c>
      <c r="B13" s="6">
        <v>46113</v>
      </c>
      <c r="C13" s="6">
        <v>46203</v>
      </c>
      <c r="D13" s="3" t="s">
        <v>84</v>
      </c>
      <c r="E13" s="3">
        <v>5</v>
      </c>
      <c r="F13" s="3" t="s">
        <v>239</v>
      </c>
      <c r="G13" s="3" t="str">
        <f t="shared" si="0"/>
        <v>FONTANERO</v>
      </c>
      <c r="H13" s="3" t="s">
        <v>231</v>
      </c>
      <c r="I13" s="3" t="s">
        <v>240</v>
      </c>
      <c r="J13" s="3" t="s">
        <v>241</v>
      </c>
      <c r="K13" s="3" t="s">
        <v>242</v>
      </c>
      <c r="L13" s="3" t="s">
        <v>91</v>
      </c>
      <c r="M13" s="8">
        <f>3834.38*2</f>
        <v>7668.76</v>
      </c>
      <c r="N13" s="3" t="s">
        <v>218</v>
      </c>
      <c r="O13" s="5">
        <v>7091.34</v>
      </c>
      <c r="P13" s="3" t="s">
        <v>218</v>
      </c>
      <c r="Q13" s="4">
        <v>13</v>
      </c>
      <c r="R13" s="4">
        <v>13</v>
      </c>
      <c r="S13" s="4">
        <v>13</v>
      </c>
      <c r="T13" s="4">
        <v>13</v>
      </c>
      <c r="U13" s="4">
        <v>13</v>
      </c>
      <c r="V13" s="4">
        <v>13</v>
      </c>
      <c r="W13" s="4">
        <v>13</v>
      </c>
      <c r="X13" s="4">
        <v>13</v>
      </c>
      <c r="Y13" s="4">
        <v>13</v>
      </c>
      <c r="Z13" s="4">
        <v>13</v>
      </c>
      <c r="AA13" s="4">
        <v>13</v>
      </c>
      <c r="AB13" s="4">
        <v>13</v>
      </c>
      <c r="AC13" s="4">
        <v>13</v>
      </c>
      <c r="AD13" s="3" t="s">
        <v>219</v>
      </c>
      <c r="AE13" s="6">
        <v>46203</v>
      </c>
      <c r="AF13" s="4" t="s">
        <v>390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x14ac:dyDescent="0.25">
      <c r="A14" s="4">
        <v>2026</v>
      </c>
      <c r="B14" s="6">
        <v>46113</v>
      </c>
      <c r="C14" s="6">
        <v>46203</v>
      </c>
      <c r="D14" s="3" t="s">
        <v>84</v>
      </c>
      <c r="E14" s="3">
        <v>3</v>
      </c>
      <c r="F14" s="3" t="s">
        <v>243</v>
      </c>
      <c r="G14" s="3" t="str">
        <f t="shared" si="0"/>
        <v>ENCARGADO SECCION CONTROL DE CALIDAD</v>
      </c>
      <c r="H14" s="3" t="s">
        <v>231</v>
      </c>
      <c r="I14" s="3" t="s">
        <v>244</v>
      </c>
      <c r="J14" s="3" t="s">
        <v>242</v>
      </c>
      <c r="K14" s="3" t="s">
        <v>245</v>
      </c>
      <c r="L14" s="3" t="s">
        <v>91</v>
      </c>
      <c r="M14" s="8">
        <f>10085.44*2</f>
        <v>20170.88</v>
      </c>
      <c r="N14" s="3" t="s">
        <v>218</v>
      </c>
      <c r="O14" s="5">
        <v>19050.48</v>
      </c>
      <c r="P14" s="3" t="s">
        <v>218</v>
      </c>
      <c r="Q14" s="4">
        <v>14</v>
      </c>
      <c r="R14" s="4">
        <v>14</v>
      </c>
      <c r="S14" s="4">
        <v>14</v>
      </c>
      <c r="T14" s="4">
        <v>14</v>
      </c>
      <c r="U14" s="4">
        <v>14</v>
      </c>
      <c r="V14" s="4">
        <v>14</v>
      </c>
      <c r="W14" s="4">
        <v>14</v>
      </c>
      <c r="X14" s="4">
        <v>14</v>
      </c>
      <c r="Y14" s="4">
        <v>14</v>
      </c>
      <c r="Z14" s="4">
        <v>14</v>
      </c>
      <c r="AA14" s="4">
        <v>14</v>
      </c>
      <c r="AB14" s="4">
        <v>14</v>
      </c>
      <c r="AC14" s="4">
        <v>14</v>
      </c>
      <c r="AD14" s="3" t="s">
        <v>219</v>
      </c>
      <c r="AE14" s="6">
        <v>46203</v>
      </c>
      <c r="AF14" s="4" t="s">
        <v>390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x14ac:dyDescent="0.25">
      <c r="A15" s="4">
        <v>2026</v>
      </c>
      <c r="B15" s="6">
        <v>46113</v>
      </c>
      <c r="C15" s="6">
        <v>46203</v>
      </c>
      <c r="D15" s="3" t="s">
        <v>84</v>
      </c>
      <c r="E15" s="3">
        <v>5</v>
      </c>
      <c r="F15" s="3" t="s">
        <v>246</v>
      </c>
      <c r="G15" s="3" t="str">
        <f t="shared" si="0"/>
        <v>AUXILIR ADMINISTRATIVO</v>
      </c>
      <c r="H15" s="3" t="s">
        <v>231</v>
      </c>
      <c r="I15" s="3" t="s">
        <v>247</v>
      </c>
      <c r="J15" s="3" t="s">
        <v>248</v>
      </c>
      <c r="K15" s="3" t="s">
        <v>249</v>
      </c>
      <c r="L15" s="3" t="s">
        <v>91</v>
      </c>
      <c r="M15" s="8">
        <f>4594.71*2</f>
        <v>9189.42</v>
      </c>
      <c r="N15" s="3" t="s">
        <v>218</v>
      </c>
      <c r="O15" s="5">
        <v>8119.12</v>
      </c>
      <c r="P15" s="3" t="s">
        <v>218</v>
      </c>
      <c r="Q15" s="4">
        <v>15</v>
      </c>
      <c r="R15" s="4">
        <v>15</v>
      </c>
      <c r="S15" s="4">
        <v>15</v>
      </c>
      <c r="T15" s="4">
        <v>15</v>
      </c>
      <c r="U15" s="4">
        <v>15</v>
      </c>
      <c r="V15" s="4">
        <v>15</v>
      </c>
      <c r="W15" s="4">
        <v>15</v>
      </c>
      <c r="X15" s="4">
        <v>15</v>
      </c>
      <c r="Y15" s="4">
        <v>15</v>
      </c>
      <c r="Z15" s="4">
        <v>15</v>
      </c>
      <c r="AA15" s="4">
        <v>15</v>
      </c>
      <c r="AB15" s="4">
        <v>15</v>
      </c>
      <c r="AC15" s="4">
        <v>15</v>
      </c>
      <c r="AD15" s="3" t="s">
        <v>219</v>
      </c>
      <c r="AE15" s="6">
        <v>46203</v>
      </c>
      <c r="AF15" s="4" t="s">
        <v>390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x14ac:dyDescent="0.25">
      <c r="A16" s="4">
        <v>2026</v>
      </c>
      <c r="B16" s="6">
        <v>46113</v>
      </c>
      <c r="C16" s="6">
        <v>46203</v>
      </c>
      <c r="D16" s="3" t="s">
        <v>84</v>
      </c>
      <c r="E16" s="3">
        <v>5</v>
      </c>
      <c r="F16" s="3" t="s">
        <v>250</v>
      </c>
      <c r="G16" s="3" t="str">
        <f t="shared" si="0"/>
        <v>AUXILIAR ADMINISTRATIVO</v>
      </c>
      <c r="H16" s="3" t="s">
        <v>231</v>
      </c>
      <c r="I16" s="3" t="s">
        <v>251</v>
      </c>
      <c r="J16" s="3" t="s">
        <v>252</v>
      </c>
      <c r="K16" s="3" t="s">
        <v>253</v>
      </c>
      <c r="L16" s="3" t="s">
        <v>91</v>
      </c>
      <c r="M16" s="8">
        <f>2431.75*2</f>
        <v>4863.5</v>
      </c>
      <c r="N16" s="3" t="s">
        <v>218</v>
      </c>
      <c r="O16" s="5">
        <v>4282.8</v>
      </c>
      <c r="P16" s="3" t="s">
        <v>218</v>
      </c>
      <c r="Q16" s="4">
        <v>16</v>
      </c>
      <c r="R16" s="4">
        <v>16</v>
      </c>
      <c r="S16" s="4">
        <v>16</v>
      </c>
      <c r="T16" s="4">
        <v>16</v>
      </c>
      <c r="U16" s="4">
        <v>16</v>
      </c>
      <c r="V16" s="4">
        <v>16</v>
      </c>
      <c r="W16" s="4">
        <v>16</v>
      </c>
      <c r="X16" s="4">
        <v>16</v>
      </c>
      <c r="Y16" s="4">
        <v>16</v>
      </c>
      <c r="Z16" s="4">
        <v>16</v>
      </c>
      <c r="AA16" s="4">
        <v>16</v>
      </c>
      <c r="AB16" s="4">
        <v>16</v>
      </c>
      <c r="AC16" s="4">
        <v>16</v>
      </c>
      <c r="AD16" s="3" t="s">
        <v>219</v>
      </c>
      <c r="AE16" s="6">
        <v>46203</v>
      </c>
      <c r="AF16" s="4" t="s">
        <v>390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x14ac:dyDescent="0.25">
      <c r="A17" s="4">
        <v>2026</v>
      </c>
      <c r="B17" s="6">
        <v>46113</v>
      </c>
      <c r="C17" s="6">
        <v>46203</v>
      </c>
      <c r="D17" s="3" t="s">
        <v>84</v>
      </c>
      <c r="E17" s="3">
        <v>5</v>
      </c>
      <c r="F17" s="3" t="s">
        <v>220</v>
      </c>
      <c r="G17" s="3" t="str">
        <f t="shared" si="0"/>
        <v>AUXILIAR OPERATIVO DEL AREA COMERCIAL</v>
      </c>
      <c r="H17" s="3" t="s">
        <v>231</v>
      </c>
      <c r="I17" s="3" t="s">
        <v>254</v>
      </c>
      <c r="J17" s="3" t="s">
        <v>255</v>
      </c>
      <c r="K17" s="3" t="s">
        <v>255</v>
      </c>
      <c r="L17" s="3" t="s">
        <v>91</v>
      </c>
      <c r="M17" s="8">
        <f>4224.09*2</f>
        <v>8448.18</v>
      </c>
      <c r="N17" s="3" t="s">
        <v>218</v>
      </c>
      <c r="O17" s="5">
        <v>7843.62</v>
      </c>
      <c r="P17" s="3" t="s">
        <v>218</v>
      </c>
      <c r="Q17" s="4">
        <v>17</v>
      </c>
      <c r="R17" s="4">
        <v>17</v>
      </c>
      <c r="S17" s="4">
        <v>17</v>
      </c>
      <c r="T17" s="4">
        <v>17</v>
      </c>
      <c r="U17" s="4">
        <v>17</v>
      </c>
      <c r="V17" s="4">
        <v>17</v>
      </c>
      <c r="W17" s="4">
        <v>17</v>
      </c>
      <c r="X17" s="4">
        <v>17</v>
      </c>
      <c r="Y17" s="4">
        <v>17</v>
      </c>
      <c r="Z17" s="4">
        <v>17</v>
      </c>
      <c r="AA17" s="4">
        <v>17</v>
      </c>
      <c r="AB17" s="4">
        <v>17</v>
      </c>
      <c r="AC17" s="4">
        <v>17</v>
      </c>
      <c r="AD17" s="3" t="s">
        <v>219</v>
      </c>
      <c r="AE17" s="6">
        <v>46203</v>
      </c>
      <c r="AF17" s="4" t="s">
        <v>390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x14ac:dyDescent="0.25">
      <c r="A18" s="4">
        <v>2026</v>
      </c>
      <c r="B18" s="6">
        <v>46113</v>
      </c>
      <c r="C18" s="6">
        <v>46203</v>
      </c>
      <c r="D18" s="3" t="s">
        <v>84</v>
      </c>
      <c r="E18" s="3">
        <v>5</v>
      </c>
      <c r="F18" s="3" t="s">
        <v>220</v>
      </c>
      <c r="G18" s="3" t="str">
        <f t="shared" si="0"/>
        <v>AUXILIAR OPERATIVO DEL AREA COMERCIAL</v>
      </c>
      <c r="H18" s="3" t="s">
        <v>231</v>
      </c>
      <c r="I18" s="3" t="s">
        <v>256</v>
      </c>
      <c r="J18" s="3" t="s">
        <v>255</v>
      </c>
      <c r="K18" s="3" t="s">
        <v>255</v>
      </c>
      <c r="L18" s="3" t="s">
        <v>91</v>
      </c>
      <c r="M18" s="8">
        <v>3046.5</v>
      </c>
      <c r="N18" s="3" t="s">
        <v>218</v>
      </c>
      <c r="O18" s="5">
        <v>5013.46</v>
      </c>
      <c r="P18" s="3" t="s">
        <v>218</v>
      </c>
      <c r="Q18" s="4">
        <v>18</v>
      </c>
      <c r="R18" s="4">
        <v>18</v>
      </c>
      <c r="S18" s="4">
        <v>18</v>
      </c>
      <c r="T18" s="4">
        <v>18</v>
      </c>
      <c r="U18" s="4">
        <v>18</v>
      </c>
      <c r="V18" s="4">
        <v>18</v>
      </c>
      <c r="W18" s="4">
        <v>18</v>
      </c>
      <c r="X18" s="4">
        <v>18</v>
      </c>
      <c r="Y18" s="4">
        <v>18</v>
      </c>
      <c r="Z18" s="4">
        <v>18</v>
      </c>
      <c r="AA18" s="4">
        <v>18</v>
      </c>
      <c r="AB18" s="4">
        <v>18</v>
      </c>
      <c r="AC18" s="4">
        <v>18</v>
      </c>
      <c r="AD18" s="3" t="s">
        <v>219</v>
      </c>
      <c r="AE18" s="6">
        <v>46203</v>
      </c>
      <c r="AF18" s="4" t="s">
        <v>390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x14ac:dyDescent="0.25">
      <c r="A19" s="4">
        <v>2026</v>
      </c>
      <c r="B19" s="6">
        <v>46113</v>
      </c>
      <c r="C19" s="6">
        <v>46203</v>
      </c>
      <c r="D19" s="3" t="s">
        <v>84</v>
      </c>
      <c r="E19" s="3">
        <v>5</v>
      </c>
      <c r="F19" s="3" t="s">
        <v>239</v>
      </c>
      <c r="G19" s="3" t="str">
        <f t="shared" si="0"/>
        <v>FONTANERO</v>
      </c>
      <c r="H19" s="3" t="s">
        <v>231</v>
      </c>
      <c r="I19" s="3" t="s">
        <v>257</v>
      </c>
      <c r="J19" s="3" t="s">
        <v>255</v>
      </c>
      <c r="K19" s="3" t="s">
        <v>258</v>
      </c>
      <c r="L19" s="3" t="s">
        <v>91</v>
      </c>
      <c r="M19" s="8">
        <v>6054.19</v>
      </c>
      <c r="N19" s="3" t="s">
        <v>218</v>
      </c>
      <c r="O19" s="5">
        <v>11408.42</v>
      </c>
      <c r="P19" s="3" t="s">
        <v>218</v>
      </c>
      <c r="Q19" s="4">
        <v>19</v>
      </c>
      <c r="R19" s="4">
        <v>19</v>
      </c>
      <c r="S19" s="4">
        <v>19</v>
      </c>
      <c r="T19" s="4">
        <v>19</v>
      </c>
      <c r="U19" s="4">
        <v>19</v>
      </c>
      <c r="V19" s="4">
        <v>19</v>
      </c>
      <c r="W19" s="4">
        <v>19</v>
      </c>
      <c r="X19" s="4">
        <v>19</v>
      </c>
      <c r="Y19" s="4">
        <v>19</v>
      </c>
      <c r="Z19" s="4">
        <v>19</v>
      </c>
      <c r="AA19" s="4">
        <v>19</v>
      </c>
      <c r="AB19" s="4">
        <v>19</v>
      </c>
      <c r="AC19" s="4">
        <v>19</v>
      </c>
      <c r="AD19" s="3" t="s">
        <v>219</v>
      </c>
      <c r="AE19" s="6">
        <v>46203</v>
      </c>
      <c r="AF19" s="4" t="s">
        <v>390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x14ac:dyDescent="0.25">
      <c r="A20" s="4">
        <v>2026</v>
      </c>
      <c r="B20" s="6">
        <v>46113</v>
      </c>
      <c r="C20" s="6">
        <v>46203</v>
      </c>
      <c r="D20" s="3" t="s">
        <v>88</v>
      </c>
      <c r="E20" s="3">
        <v>2</v>
      </c>
      <c r="F20" s="3" t="s">
        <v>259</v>
      </c>
      <c r="G20" s="3" t="str">
        <f t="shared" si="0"/>
        <v>SUBDIRECTOR TECNICO OPERACIÓN Y MANTENIMIENTO</v>
      </c>
      <c r="H20" s="3" t="s">
        <v>231</v>
      </c>
      <c r="I20" s="3" t="s">
        <v>222</v>
      </c>
      <c r="J20" s="3" t="s">
        <v>260</v>
      </c>
      <c r="K20" s="3" t="s">
        <v>261</v>
      </c>
      <c r="L20" s="3" t="s">
        <v>91</v>
      </c>
      <c r="M20" s="8">
        <f>8424.76*2</f>
        <v>16849.52</v>
      </c>
      <c r="N20" s="3" t="s">
        <v>218</v>
      </c>
      <c r="O20" s="5">
        <v>15342.94</v>
      </c>
      <c r="P20" s="3" t="s">
        <v>218</v>
      </c>
      <c r="Q20" s="4">
        <v>20</v>
      </c>
      <c r="R20" s="4">
        <v>20</v>
      </c>
      <c r="S20" s="4">
        <v>20</v>
      </c>
      <c r="T20" s="4">
        <v>20</v>
      </c>
      <c r="U20" s="4">
        <v>20</v>
      </c>
      <c r="V20" s="4">
        <v>20</v>
      </c>
      <c r="W20" s="4">
        <v>20</v>
      </c>
      <c r="X20" s="4">
        <v>20</v>
      </c>
      <c r="Y20" s="4">
        <v>20</v>
      </c>
      <c r="Z20" s="4">
        <v>20</v>
      </c>
      <c r="AA20" s="4">
        <v>20</v>
      </c>
      <c r="AB20" s="4">
        <v>20</v>
      </c>
      <c r="AC20" s="4">
        <v>20</v>
      </c>
      <c r="AD20" s="3" t="s">
        <v>219</v>
      </c>
      <c r="AE20" s="6">
        <v>46203</v>
      </c>
      <c r="AF20" s="4" t="s">
        <v>390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x14ac:dyDescent="0.25">
      <c r="A21" s="4">
        <v>2026</v>
      </c>
      <c r="B21" s="6">
        <v>46113</v>
      </c>
      <c r="C21" s="6">
        <v>46203</v>
      </c>
      <c r="D21" s="3" t="s">
        <v>84</v>
      </c>
      <c r="E21" s="3">
        <v>5</v>
      </c>
      <c r="F21" s="3" t="s">
        <v>239</v>
      </c>
      <c r="G21" s="3" t="str">
        <f t="shared" si="0"/>
        <v>FONTANERO</v>
      </c>
      <c r="H21" s="3" t="s">
        <v>231</v>
      </c>
      <c r="I21" s="3" t="s">
        <v>262</v>
      </c>
      <c r="J21" s="3" t="s">
        <v>263</v>
      </c>
      <c r="K21" s="3" t="s">
        <v>264</v>
      </c>
      <c r="L21" s="3" t="s">
        <v>91</v>
      </c>
      <c r="M21" s="8">
        <v>3669.59</v>
      </c>
      <c r="N21" s="3" t="s">
        <v>218</v>
      </c>
      <c r="O21" s="5">
        <v>6694.78</v>
      </c>
      <c r="P21" s="3" t="s">
        <v>218</v>
      </c>
      <c r="Q21" s="4">
        <v>21</v>
      </c>
      <c r="R21" s="4">
        <v>21</v>
      </c>
      <c r="S21" s="4">
        <v>21</v>
      </c>
      <c r="T21" s="4">
        <v>21</v>
      </c>
      <c r="U21" s="4">
        <v>21</v>
      </c>
      <c r="V21" s="4">
        <v>21</v>
      </c>
      <c r="W21" s="4">
        <v>21</v>
      </c>
      <c r="X21" s="4">
        <v>21</v>
      </c>
      <c r="Y21" s="4">
        <v>21</v>
      </c>
      <c r="Z21" s="4">
        <v>21</v>
      </c>
      <c r="AA21" s="4">
        <v>21</v>
      </c>
      <c r="AB21" s="4">
        <v>21</v>
      </c>
      <c r="AC21" s="4">
        <v>21</v>
      </c>
      <c r="AD21" s="3" t="s">
        <v>219</v>
      </c>
      <c r="AE21" s="6">
        <v>46203</v>
      </c>
      <c r="AF21" s="4" t="s">
        <v>390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x14ac:dyDescent="0.25">
      <c r="A22" s="4">
        <v>2026</v>
      </c>
      <c r="B22" s="6">
        <v>46113</v>
      </c>
      <c r="C22" s="6">
        <v>46203</v>
      </c>
      <c r="D22" s="3" t="s">
        <v>84</v>
      </c>
      <c r="E22" s="3">
        <v>5</v>
      </c>
      <c r="F22" s="3" t="s">
        <v>265</v>
      </c>
      <c r="G22" s="3" t="str">
        <f t="shared" si="0"/>
        <v>AUXILIAR DE CONTABILIDAD</v>
      </c>
      <c r="H22" s="3" t="s">
        <v>214</v>
      </c>
      <c r="I22" s="3" t="s">
        <v>266</v>
      </c>
      <c r="J22" s="3" t="s">
        <v>267</v>
      </c>
      <c r="K22" s="3" t="s">
        <v>255</v>
      </c>
      <c r="L22" s="3" t="s">
        <v>92</v>
      </c>
      <c r="M22" s="8">
        <v>8904.7800000000007</v>
      </c>
      <c r="N22" s="3" t="s">
        <v>218</v>
      </c>
      <c r="O22" s="5">
        <v>16510.68</v>
      </c>
      <c r="P22" s="3" t="s">
        <v>218</v>
      </c>
      <c r="Q22" s="4">
        <v>22</v>
      </c>
      <c r="R22" s="4">
        <v>22</v>
      </c>
      <c r="S22" s="4">
        <v>22</v>
      </c>
      <c r="T22" s="4">
        <v>22</v>
      </c>
      <c r="U22" s="4">
        <v>22</v>
      </c>
      <c r="V22" s="4">
        <v>22</v>
      </c>
      <c r="W22" s="4">
        <v>22</v>
      </c>
      <c r="X22" s="4">
        <v>22</v>
      </c>
      <c r="Y22" s="4">
        <v>22</v>
      </c>
      <c r="Z22" s="4">
        <v>22</v>
      </c>
      <c r="AA22" s="4">
        <v>22</v>
      </c>
      <c r="AB22" s="4">
        <v>22</v>
      </c>
      <c r="AC22" s="4">
        <v>22</v>
      </c>
      <c r="AD22" s="3" t="s">
        <v>219</v>
      </c>
      <c r="AE22" s="6">
        <v>46203</v>
      </c>
      <c r="AF22" s="4" t="s">
        <v>390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x14ac:dyDescent="0.25">
      <c r="A23" s="4">
        <v>2026</v>
      </c>
      <c r="B23" s="6">
        <v>46113</v>
      </c>
      <c r="C23" s="6">
        <v>46203</v>
      </c>
      <c r="D23" s="3" t="s">
        <v>84</v>
      </c>
      <c r="E23" s="3">
        <v>5</v>
      </c>
      <c r="F23" s="3" t="s">
        <v>268</v>
      </c>
      <c r="G23" s="3" t="str">
        <f t="shared" si="0"/>
        <v>AUXILIAR ADMINISTRATIVO DEL AREA COMERCIAL</v>
      </c>
      <c r="H23" s="3" t="s">
        <v>221</v>
      </c>
      <c r="I23" s="3" t="s">
        <v>269</v>
      </c>
      <c r="J23" s="3" t="s">
        <v>267</v>
      </c>
      <c r="K23" s="3" t="s">
        <v>270</v>
      </c>
      <c r="L23" s="3" t="s">
        <v>92</v>
      </c>
      <c r="M23" s="8">
        <f>6071.62*2</f>
        <v>12143.24</v>
      </c>
      <c r="N23" s="3" t="s">
        <v>218</v>
      </c>
      <c r="O23" s="5">
        <v>10848.94</v>
      </c>
      <c r="P23" s="3" t="s">
        <v>218</v>
      </c>
      <c r="Q23" s="4">
        <v>23</v>
      </c>
      <c r="R23" s="4">
        <v>23</v>
      </c>
      <c r="S23" s="4">
        <v>23</v>
      </c>
      <c r="T23" s="4">
        <v>23</v>
      </c>
      <c r="U23" s="4">
        <v>23</v>
      </c>
      <c r="V23" s="4">
        <v>23</v>
      </c>
      <c r="W23" s="4">
        <v>23</v>
      </c>
      <c r="X23" s="4">
        <v>23</v>
      </c>
      <c r="Y23" s="4">
        <v>23</v>
      </c>
      <c r="Z23" s="4">
        <v>23</v>
      </c>
      <c r="AA23" s="4">
        <v>23</v>
      </c>
      <c r="AB23" s="4">
        <v>23</v>
      </c>
      <c r="AC23" s="4">
        <v>23</v>
      </c>
      <c r="AD23" s="3" t="s">
        <v>219</v>
      </c>
      <c r="AE23" s="6">
        <v>46203</v>
      </c>
      <c r="AF23" s="4" t="s">
        <v>390</v>
      </c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x14ac:dyDescent="0.25">
      <c r="A24" s="4">
        <v>2026</v>
      </c>
      <c r="B24" s="6">
        <v>46113</v>
      </c>
      <c r="C24" s="6">
        <v>46203</v>
      </c>
      <c r="D24" s="3" t="s">
        <v>84</v>
      </c>
      <c r="E24" s="3">
        <v>5</v>
      </c>
      <c r="F24" s="3" t="s">
        <v>271</v>
      </c>
      <c r="G24" s="3" t="str">
        <f t="shared" si="0"/>
        <v>AYUDANTE DE FONTANERO</v>
      </c>
      <c r="H24" s="3" t="s">
        <v>231</v>
      </c>
      <c r="I24" s="3" t="s">
        <v>232</v>
      </c>
      <c r="J24" s="3" t="s">
        <v>272</v>
      </c>
      <c r="K24" s="3" t="s">
        <v>273</v>
      </c>
      <c r="L24" s="3" t="s">
        <v>91</v>
      </c>
      <c r="M24" s="8">
        <f>2521.28*2</f>
        <v>5042.5600000000004</v>
      </c>
      <c r="N24" s="3" t="s">
        <v>218</v>
      </c>
      <c r="O24" s="5">
        <v>4463.12</v>
      </c>
      <c r="P24" s="3" t="s">
        <v>218</v>
      </c>
      <c r="Q24" s="4">
        <v>24</v>
      </c>
      <c r="R24" s="4">
        <v>24</v>
      </c>
      <c r="S24" s="4">
        <v>24</v>
      </c>
      <c r="T24" s="4">
        <v>24</v>
      </c>
      <c r="U24" s="4">
        <v>24</v>
      </c>
      <c r="V24" s="4">
        <v>24</v>
      </c>
      <c r="W24" s="4">
        <v>24</v>
      </c>
      <c r="X24" s="4">
        <v>24</v>
      </c>
      <c r="Y24" s="4">
        <v>24</v>
      </c>
      <c r="Z24" s="4">
        <v>24</v>
      </c>
      <c r="AA24" s="4">
        <v>24</v>
      </c>
      <c r="AB24" s="4">
        <v>24</v>
      </c>
      <c r="AC24" s="4">
        <v>24</v>
      </c>
      <c r="AD24" s="3" t="s">
        <v>219</v>
      </c>
      <c r="AE24" s="6">
        <v>46203</v>
      </c>
      <c r="AF24" s="4" t="s">
        <v>390</v>
      </c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x14ac:dyDescent="0.25">
      <c r="A25" s="4">
        <v>2026</v>
      </c>
      <c r="B25" s="6">
        <v>46113</v>
      </c>
      <c r="C25" s="6">
        <v>46203</v>
      </c>
      <c r="D25" s="3" t="s">
        <v>84</v>
      </c>
      <c r="E25" s="3">
        <v>5</v>
      </c>
      <c r="F25" s="3" t="s">
        <v>220</v>
      </c>
      <c r="G25" s="3" t="str">
        <f t="shared" si="0"/>
        <v>AUXILIAR OPERATIVO DEL AREA COMERCIAL</v>
      </c>
      <c r="H25" s="3" t="s">
        <v>231</v>
      </c>
      <c r="I25" s="3" t="s">
        <v>274</v>
      </c>
      <c r="J25" s="3" t="s">
        <v>275</v>
      </c>
      <c r="K25" s="3" t="s">
        <v>276</v>
      </c>
      <c r="L25" s="3" t="s">
        <v>91</v>
      </c>
      <c r="M25" s="8">
        <f>4024.01*2</f>
        <v>8048.02</v>
      </c>
      <c r="N25" s="3" t="s">
        <v>218</v>
      </c>
      <c r="O25" s="5">
        <v>6072.78</v>
      </c>
      <c r="P25" s="3" t="s">
        <v>218</v>
      </c>
      <c r="Q25" s="4">
        <v>25</v>
      </c>
      <c r="R25" s="4">
        <v>25</v>
      </c>
      <c r="S25" s="4">
        <v>25</v>
      </c>
      <c r="T25" s="4">
        <v>25</v>
      </c>
      <c r="U25" s="4">
        <v>25</v>
      </c>
      <c r="V25" s="4">
        <v>25</v>
      </c>
      <c r="W25" s="4">
        <v>25</v>
      </c>
      <c r="X25" s="4">
        <v>25</v>
      </c>
      <c r="Y25" s="4">
        <v>25</v>
      </c>
      <c r="Z25" s="4">
        <v>25</v>
      </c>
      <c r="AA25" s="4">
        <v>25</v>
      </c>
      <c r="AB25" s="4">
        <v>25</v>
      </c>
      <c r="AC25" s="4">
        <v>25</v>
      </c>
      <c r="AD25" s="3" t="s">
        <v>219</v>
      </c>
      <c r="AE25" s="6">
        <v>46203</v>
      </c>
      <c r="AF25" s="4" t="s">
        <v>390</v>
      </c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x14ac:dyDescent="0.25">
      <c r="A26" s="4">
        <v>2026</v>
      </c>
      <c r="B26" s="6">
        <v>46113</v>
      </c>
      <c r="C26" s="6">
        <v>46203</v>
      </c>
      <c r="D26" s="3" t="s">
        <v>84</v>
      </c>
      <c r="E26" s="3">
        <v>5</v>
      </c>
      <c r="F26" s="3" t="s">
        <v>277</v>
      </c>
      <c r="G26" s="3" t="str">
        <f t="shared" si="0"/>
        <v>SECRETARIA</v>
      </c>
      <c r="H26" s="3" t="s">
        <v>214</v>
      </c>
      <c r="I26" s="3" t="s">
        <v>278</v>
      </c>
      <c r="J26" s="3" t="s">
        <v>279</v>
      </c>
      <c r="K26" s="3" t="s">
        <v>280</v>
      </c>
      <c r="L26" s="3" t="s">
        <v>92</v>
      </c>
      <c r="M26" s="8">
        <f>6671.63*2</f>
        <v>13343.26</v>
      </c>
      <c r="N26" s="3" t="s">
        <v>218</v>
      </c>
      <c r="O26" s="5">
        <v>13526.06</v>
      </c>
      <c r="P26" s="3" t="s">
        <v>218</v>
      </c>
      <c r="Q26" s="4">
        <v>26</v>
      </c>
      <c r="R26" s="4">
        <v>26</v>
      </c>
      <c r="S26" s="4">
        <v>26</v>
      </c>
      <c r="T26" s="4">
        <v>26</v>
      </c>
      <c r="U26" s="4">
        <v>26</v>
      </c>
      <c r="V26" s="4">
        <v>26</v>
      </c>
      <c r="W26" s="4">
        <v>26</v>
      </c>
      <c r="X26" s="4">
        <v>26</v>
      </c>
      <c r="Y26" s="4">
        <v>26</v>
      </c>
      <c r="Z26" s="4">
        <v>26</v>
      </c>
      <c r="AA26" s="4">
        <v>26</v>
      </c>
      <c r="AB26" s="4">
        <v>26</v>
      </c>
      <c r="AC26" s="4">
        <v>26</v>
      </c>
      <c r="AD26" s="3" t="s">
        <v>219</v>
      </c>
      <c r="AE26" s="6">
        <v>46203</v>
      </c>
      <c r="AF26" s="4" t="s">
        <v>390</v>
      </c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x14ac:dyDescent="0.25">
      <c r="A27" s="4">
        <v>2026</v>
      </c>
      <c r="B27" s="6">
        <v>46113</v>
      </c>
      <c r="C27" s="6">
        <v>46203</v>
      </c>
      <c r="D27" s="3" t="s">
        <v>84</v>
      </c>
      <c r="E27" s="3">
        <v>3</v>
      </c>
      <c r="F27" s="3" t="s">
        <v>281</v>
      </c>
      <c r="G27" s="3" t="str">
        <f t="shared" si="0"/>
        <v>AUXILIAR ADMINISTRATIVO ALMACEN</v>
      </c>
      <c r="H27" s="3" t="s">
        <v>214</v>
      </c>
      <c r="I27" s="3" t="s">
        <v>282</v>
      </c>
      <c r="J27" s="3" t="s">
        <v>283</v>
      </c>
      <c r="K27" s="3" t="s">
        <v>284</v>
      </c>
      <c r="L27" s="3" t="s">
        <v>92</v>
      </c>
      <c r="M27" s="8">
        <f>4529.55*2</f>
        <v>9059.1</v>
      </c>
      <c r="N27" s="3" t="s">
        <v>218</v>
      </c>
      <c r="O27" s="5">
        <v>8831.68</v>
      </c>
      <c r="P27" s="3" t="s">
        <v>218</v>
      </c>
      <c r="Q27" s="4">
        <v>27</v>
      </c>
      <c r="R27" s="4">
        <v>27</v>
      </c>
      <c r="S27" s="4">
        <v>27</v>
      </c>
      <c r="T27" s="4">
        <v>27</v>
      </c>
      <c r="U27" s="4">
        <v>27</v>
      </c>
      <c r="V27" s="4">
        <v>27</v>
      </c>
      <c r="W27" s="4">
        <v>27</v>
      </c>
      <c r="X27" s="4">
        <v>27</v>
      </c>
      <c r="Y27" s="4">
        <v>27</v>
      </c>
      <c r="Z27" s="4">
        <v>27</v>
      </c>
      <c r="AA27" s="4">
        <v>27</v>
      </c>
      <c r="AB27" s="4">
        <v>27</v>
      </c>
      <c r="AC27" s="4">
        <v>27</v>
      </c>
      <c r="AD27" s="3" t="s">
        <v>219</v>
      </c>
      <c r="AE27" s="6">
        <v>46203</v>
      </c>
      <c r="AF27" s="4" t="s">
        <v>390</v>
      </c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x14ac:dyDescent="0.25">
      <c r="A28" s="4">
        <v>2026</v>
      </c>
      <c r="B28" s="6">
        <v>46113</v>
      </c>
      <c r="C28" s="6">
        <v>46203</v>
      </c>
      <c r="D28" s="3" t="s">
        <v>84</v>
      </c>
      <c r="E28" s="3">
        <v>5</v>
      </c>
      <c r="F28" s="3" t="s">
        <v>220</v>
      </c>
      <c r="G28" s="3" t="str">
        <f t="shared" si="0"/>
        <v>AUXILIAR OPERATIVO DEL AREA COMERCIAL</v>
      </c>
      <c r="H28" s="3" t="s">
        <v>221</v>
      </c>
      <c r="I28" s="3" t="s">
        <v>285</v>
      </c>
      <c r="J28" s="3" t="s">
        <v>286</v>
      </c>
      <c r="K28" s="3" t="s">
        <v>287</v>
      </c>
      <c r="L28" s="3" t="s">
        <v>91</v>
      </c>
      <c r="M28" s="8">
        <f>3127.86*2</f>
        <v>6255.72</v>
      </c>
      <c r="N28" s="3" t="s">
        <v>218</v>
      </c>
      <c r="O28" s="5">
        <v>5618.98</v>
      </c>
      <c r="P28" s="3" t="s">
        <v>218</v>
      </c>
      <c r="Q28" s="4">
        <v>28</v>
      </c>
      <c r="R28" s="4">
        <v>28</v>
      </c>
      <c r="S28" s="4">
        <v>28</v>
      </c>
      <c r="T28" s="4">
        <v>28</v>
      </c>
      <c r="U28" s="4">
        <v>28</v>
      </c>
      <c r="V28" s="4">
        <v>28</v>
      </c>
      <c r="W28" s="4">
        <v>28</v>
      </c>
      <c r="X28" s="4">
        <v>28</v>
      </c>
      <c r="Y28" s="4">
        <v>28</v>
      </c>
      <c r="Z28" s="4">
        <v>28</v>
      </c>
      <c r="AA28" s="4">
        <v>28</v>
      </c>
      <c r="AB28" s="4">
        <v>28</v>
      </c>
      <c r="AC28" s="4">
        <v>28</v>
      </c>
      <c r="AD28" s="3" t="s">
        <v>219</v>
      </c>
      <c r="AE28" s="6">
        <v>46203</v>
      </c>
      <c r="AF28" s="4" t="s">
        <v>390</v>
      </c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x14ac:dyDescent="0.25">
      <c r="A29" s="4">
        <v>2026</v>
      </c>
      <c r="B29" s="6">
        <v>46113</v>
      </c>
      <c r="C29" s="6">
        <v>46203</v>
      </c>
      <c r="D29" s="3" t="s">
        <v>84</v>
      </c>
      <c r="E29" s="3">
        <v>5</v>
      </c>
      <c r="F29" s="3" t="s">
        <v>288</v>
      </c>
      <c r="G29" s="3" t="str">
        <f t="shared" si="0"/>
        <v>ALBAÑIL</v>
      </c>
      <c r="H29" s="3" t="s">
        <v>231</v>
      </c>
      <c r="I29" s="3" t="s">
        <v>289</v>
      </c>
      <c r="J29" s="3" t="s">
        <v>290</v>
      </c>
      <c r="K29" s="3" t="s">
        <v>255</v>
      </c>
      <c r="L29" s="3" t="s">
        <v>91</v>
      </c>
      <c r="M29" s="8">
        <f>3490.14*2</f>
        <v>6980.28</v>
      </c>
      <c r="N29" s="3" t="s">
        <v>218</v>
      </c>
      <c r="O29" s="5">
        <v>6270.62</v>
      </c>
      <c r="P29" s="3" t="s">
        <v>218</v>
      </c>
      <c r="Q29" s="4">
        <v>29</v>
      </c>
      <c r="R29" s="4">
        <v>29</v>
      </c>
      <c r="S29" s="4">
        <v>29</v>
      </c>
      <c r="T29" s="4">
        <v>29</v>
      </c>
      <c r="U29" s="4">
        <v>29</v>
      </c>
      <c r="V29" s="4">
        <v>29</v>
      </c>
      <c r="W29" s="4">
        <v>29</v>
      </c>
      <c r="X29" s="4">
        <v>29</v>
      </c>
      <c r="Y29" s="4">
        <v>29</v>
      </c>
      <c r="Z29" s="4">
        <v>29</v>
      </c>
      <c r="AA29" s="4">
        <v>29</v>
      </c>
      <c r="AB29" s="4">
        <v>29</v>
      </c>
      <c r="AC29" s="4">
        <v>29</v>
      </c>
      <c r="AD29" s="3" t="s">
        <v>219</v>
      </c>
      <c r="AE29" s="6">
        <v>46203</v>
      </c>
      <c r="AF29" s="4" t="s">
        <v>390</v>
      </c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x14ac:dyDescent="0.25">
      <c r="A30" s="4">
        <v>2026</v>
      </c>
      <c r="B30" s="6">
        <v>46113</v>
      </c>
      <c r="C30" s="6">
        <v>46203</v>
      </c>
      <c r="D30" s="3" t="s">
        <v>84</v>
      </c>
      <c r="E30" s="3">
        <v>5</v>
      </c>
      <c r="F30" s="3" t="s">
        <v>250</v>
      </c>
      <c r="G30" s="3" t="str">
        <f t="shared" si="0"/>
        <v>AUXILIAR ADMINISTRATIVO</v>
      </c>
      <c r="H30" s="3" t="s">
        <v>214</v>
      </c>
      <c r="I30" s="3" t="s">
        <v>291</v>
      </c>
      <c r="J30" s="3" t="s">
        <v>290</v>
      </c>
      <c r="K30" s="3" t="s">
        <v>292</v>
      </c>
      <c r="L30" s="3" t="s">
        <v>91</v>
      </c>
      <c r="M30" s="8">
        <f>4774.67*2</f>
        <v>9549.34</v>
      </c>
      <c r="N30" s="3" t="s">
        <v>218</v>
      </c>
      <c r="O30" s="5">
        <v>8832.1</v>
      </c>
      <c r="P30" s="3" t="s">
        <v>218</v>
      </c>
      <c r="Q30" s="4">
        <v>30</v>
      </c>
      <c r="R30" s="4">
        <v>30</v>
      </c>
      <c r="S30" s="4">
        <v>30</v>
      </c>
      <c r="T30" s="4">
        <v>30</v>
      </c>
      <c r="U30" s="4">
        <v>30</v>
      </c>
      <c r="V30" s="4">
        <v>30</v>
      </c>
      <c r="W30" s="4">
        <v>30</v>
      </c>
      <c r="X30" s="4">
        <v>30</v>
      </c>
      <c r="Y30" s="4">
        <v>30</v>
      </c>
      <c r="Z30" s="4">
        <v>30</v>
      </c>
      <c r="AA30" s="4">
        <v>30</v>
      </c>
      <c r="AB30" s="4">
        <v>30</v>
      </c>
      <c r="AC30" s="4">
        <v>30</v>
      </c>
      <c r="AD30" s="3" t="s">
        <v>219</v>
      </c>
      <c r="AE30" s="6">
        <v>46203</v>
      </c>
      <c r="AF30" s="4" t="s">
        <v>390</v>
      </c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x14ac:dyDescent="0.25">
      <c r="A31" s="4">
        <v>2026</v>
      </c>
      <c r="B31" s="6">
        <v>46113</v>
      </c>
      <c r="C31" s="6">
        <v>46203</v>
      </c>
      <c r="D31" s="3" t="s">
        <v>84</v>
      </c>
      <c r="E31" s="3">
        <v>5</v>
      </c>
      <c r="F31" s="3" t="s">
        <v>220</v>
      </c>
      <c r="G31" s="3" t="str">
        <f t="shared" si="0"/>
        <v>AUXILIAR OPERATIVO DEL AREA COMERCIAL</v>
      </c>
      <c r="H31" s="3" t="s">
        <v>221</v>
      </c>
      <c r="I31" s="3" t="s">
        <v>293</v>
      </c>
      <c r="J31" s="3" t="s">
        <v>290</v>
      </c>
      <c r="K31" s="3" t="s">
        <v>294</v>
      </c>
      <c r="L31" s="3" t="s">
        <v>91</v>
      </c>
      <c r="M31" s="8">
        <f>4408.4*2</f>
        <v>8816.7999999999993</v>
      </c>
      <c r="N31" s="3" t="s">
        <v>218</v>
      </c>
      <c r="O31" s="5">
        <v>8774.76</v>
      </c>
      <c r="P31" s="3" t="s">
        <v>218</v>
      </c>
      <c r="Q31" s="4">
        <v>31</v>
      </c>
      <c r="R31" s="4">
        <v>31</v>
      </c>
      <c r="S31" s="4">
        <v>31</v>
      </c>
      <c r="T31" s="4">
        <v>31</v>
      </c>
      <c r="U31" s="4">
        <v>31</v>
      </c>
      <c r="V31" s="4">
        <v>31</v>
      </c>
      <c r="W31" s="4">
        <v>31</v>
      </c>
      <c r="X31" s="4">
        <v>31</v>
      </c>
      <c r="Y31" s="4">
        <v>31</v>
      </c>
      <c r="Z31" s="4">
        <v>31</v>
      </c>
      <c r="AA31" s="4">
        <v>31</v>
      </c>
      <c r="AB31" s="4">
        <v>31</v>
      </c>
      <c r="AC31" s="4">
        <v>31</v>
      </c>
      <c r="AD31" s="3" t="s">
        <v>219</v>
      </c>
      <c r="AE31" s="6">
        <v>46203</v>
      </c>
      <c r="AF31" s="4" t="s">
        <v>390</v>
      </c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x14ac:dyDescent="0.25">
      <c r="A32" s="4">
        <v>2026</v>
      </c>
      <c r="B32" s="6">
        <v>46113</v>
      </c>
      <c r="C32" s="6">
        <v>46203</v>
      </c>
      <c r="D32" s="3" t="s">
        <v>84</v>
      </c>
      <c r="E32" s="3">
        <v>5</v>
      </c>
      <c r="F32" s="3" t="s">
        <v>295</v>
      </c>
      <c r="G32" s="3" t="str">
        <f t="shared" si="0"/>
        <v>PEON GENERAL</v>
      </c>
      <c r="H32" s="3" t="s">
        <v>231</v>
      </c>
      <c r="I32" s="3" t="s">
        <v>296</v>
      </c>
      <c r="J32" s="3" t="s">
        <v>297</v>
      </c>
      <c r="K32" s="3" t="s">
        <v>298</v>
      </c>
      <c r="L32" s="3" t="s">
        <v>91</v>
      </c>
      <c r="M32" s="8">
        <f>3415.44*2</f>
        <v>6830.88</v>
      </c>
      <c r="N32" s="3" t="s">
        <v>218</v>
      </c>
      <c r="O32" s="5">
        <v>8835.1200000000008</v>
      </c>
      <c r="P32" s="3" t="s">
        <v>218</v>
      </c>
      <c r="Q32" s="4">
        <v>32</v>
      </c>
      <c r="R32" s="4">
        <v>32</v>
      </c>
      <c r="S32" s="4">
        <v>32</v>
      </c>
      <c r="T32" s="4">
        <v>32</v>
      </c>
      <c r="U32" s="4">
        <v>32</v>
      </c>
      <c r="V32" s="4">
        <v>32</v>
      </c>
      <c r="W32" s="4">
        <v>32</v>
      </c>
      <c r="X32" s="4">
        <v>32</v>
      </c>
      <c r="Y32" s="4">
        <v>32</v>
      </c>
      <c r="Z32" s="4">
        <v>32</v>
      </c>
      <c r="AA32" s="4">
        <v>32</v>
      </c>
      <c r="AB32" s="4">
        <v>32</v>
      </c>
      <c r="AC32" s="4">
        <v>32</v>
      </c>
      <c r="AD32" s="3" t="s">
        <v>219</v>
      </c>
      <c r="AE32" s="6">
        <v>46203</v>
      </c>
      <c r="AF32" s="4" t="s">
        <v>390</v>
      </c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x14ac:dyDescent="0.25">
      <c r="A33" s="4">
        <v>2026</v>
      </c>
      <c r="B33" s="6">
        <v>46113</v>
      </c>
      <c r="C33" s="6">
        <v>46203</v>
      </c>
      <c r="D33" s="3" t="s">
        <v>84</v>
      </c>
      <c r="E33" s="3">
        <v>3</v>
      </c>
      <c r="F33" s="3" t="s">
        <v>299</v>
      </c>
      <c r="G33" s="3" t="str">
        <f t="shared" si="0"/>
        <v>ENCARGADA DE RECUPERACION DE REZAGO</v>
      </c>
      <c r="H33" s="3" t="s">
        <v>221</v>
      </c>
      <c r="I33" s="3" t="s">
        <v>300</v>
      </c>
      <c r="J33" s="3" t="s">
        <v>301</v>
      </c>
      <c r="K33" s="3" t="s">
        <v>302</v>
      </c>
      <c r="L33" s="3" t="s">
        <v>92</v>
      </c>
      <c r="M33" s="8">
        <f>6119.81*2</f>
        <v>12239.62</v>
      </c>
      <c r="N33" s="3" t="s">
        <v>218</v>
      </c>
      <c r="O33" s="5">
        <v>9609.68</v>
      </c>
      <c r="P33" s="3" t="s">
        <v>218</v>
      </c>
      <c r="Q33" s="4">
        <v>33</v>
      </c>
      <c r="R33" s="4">
        <v>33</v>
      </c>
      <c r="S33" s="4">
        <v>33</v>
      </c>
      <c r="T33" s="4">
        <v>33</v>
      </c>
      <c r="U33" s="4">
        <v>33</v>
      </c>
      <c r="V33" s="4">
        <v>33</v>
      </c>
      <c r="W33" s="4">
        <v>33</v>
      </c>
      <c r="X33" s="4">
        <v>33</v>
      </c>
      <c r="Y33" s="4">
        <v>33</v>
      </c>
      <c r="Z33" s="4">
        <v>33</v>
      </c>
      <c r="AA33" s="4">
        <v>33</v>
      </c>
      <c r="AB33" s="4">
        <v>33</v>
      </c>
      <c r="AC33" s="4">
        <v>33</v>
      </c>
      <c r="AD33" s="3" t="s">
        <v>219</v>
      </c>
      <c r="AE33" s="6">
        <v>46203</v>
      </c>
      <c r="AF33" s="4" t="s">
        <v>390</v>
      </c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x14ac:dyDescent="0.25">
      <c r="A34" s="4">
        <v>2026</v>
      </c>
      <c r="B34" s="6">
        <v>46113</v>
      </c>
      <c r="C34" s="6">
        <v>46203</v>
      </c>
      <c r="D34" s="3" t="s">
        <v>84</v>
      </c>
      <c r="E34" s="3">
        <v>5</v>
      </c>
      <c r="F34" s="3" t="s">
        <v>295</v>
      </c>
      <c r="G34" s="3" t="str">
        <f t="shared" si="0"/>
        <v>PEON GENERAL</v>
      </c>
      <c r="H34" s="3" t="s">
        <v>221</v>
      </c>
      <c r="I34" s="3" t="s">
        <v>303</v>
      </c>
      <c r="J34" s="3" t="s">
        <v>304</v>
      </c>
      <c r="K34" s="3" t="s">
        <v>305</v>
      </c>
      <c r="L34" s="3" t="s">
        <v>91</v>
      </c>
      <c r="M34" s="8">
        <f>867.97*2</f>
        <v>1735.94</v>
      </c>
      <c r="N34" s="3" t="s">
        <v>218</v>
      </c>
      <c r="O34" s="5">
        <v>3364.46</v>
      </c>
      <c r="P34" s="3" t="s">
        <v>218</v>
      </c>
      <c r="Q34" s="4">
        <v>34</v>
      </c>
      <c r="R34" s="4">
        <v>34</v>
      </c>
      <c r="S34" s="4">
        <v>34</v>
      </c>
      <c r="T34" s="4">
        <v>34</v>
      </c>
      <c r="U34" s="4">
        <v>34</v>
      </c>
      <c r="V34" s="4">
        <v>34</v>
      </c>
      <c r="W34" s="4">
        <v>34</v>
      </c>
      <c r="X34" s="4">
        <v>34</v>
      </c>
      <c r="Y34" s="4">
        <v>34</v>
      </c>
      <c r="Z34" s="4">
        <v>34</v>
      </c>
      <c r="AA34" s="4">
        <v>34</v>
      </c>
      <c r="AB34" s="4">
        <v>34</v>
      </c>
      <c r="AC34" s="4">
        <v>34</v>
      </c>
      <c r="AD34" s="3" t="s">
        <v>219</v>
      </c>
      <c r="AE34" s="6">
        <v>46203</v>
      </c>
      <c r="AF34" s="4" t="s">
        <v>390</v>
      </c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x14ac:dyDescent="0.25">
      <c r="A35" s="4">
        <v>2026</v>
      </c>
      <c r="B35" s="6">
        <v>46113</v>
      </c>
      <c r="C35" s="6">
        <v>46203</v>
      </c>
      <c r="D35" s="3" t="s">
        <v>84</v>
      </c>
      <c r="E35" s="3">
        <v>5</v>
      </c>
      <c r="F35" s="3" t="s">
        <v>306</v>
      </c>
      <c r="G35" s="3" t="str">
        <f t="shared" si="0"/>
        <v>AUXILIAR COMERCIAL</v>
      </c>
      <c r="H35" s="3" t="s">
        <v>221</v>
      </c>
      <c r="I35" s="3" t="s">
        <v>307</v>
      </c>
      <c r="J35" s="3" t="s">
        <v>308</v>
      </c>
      <c r="K35" s="3" t="s">
        <v>309</v>
      </c>
      <c r="L35" s="3" t="s">
        <v>91</v>
      </c>
      <c r="M35" s="8">
        <f>5734.53*2</f>
        <v>11469.06</v>
      </c>
      <c r="N35" s="3" t="s">
        <v>218</v>
      </c>
      <c r="O35" s="5">
        <v>10395.24</v>
      </c>
      <c r="P35" s="3" t="s">
        <v>218</v>
      </c>
      <c r="Q35" s="4">
        <v>35</v>
      </c>
      <c r="R35" s="4">
        <v>35</v>
      </c>
      <c r="S35" s="4">
        <v>35</v>
      </c>
      <c r="T35" s="4">
        <v>35</v>
      </c>
      <c r="U35" s="4">
        <v>35</v>
      </c>
      <c r="V35" s="4">
        <v>35</v>
      </c>
      <c r="W35" s="4">
        <v>35</v>
      </c>
      <c r="X35" s="4">
        <v>35</v>
      </c>
      <c r="Y35" s="4">
        <v>35</v>
      </c>
      <c r="Z35" s="4">
        <v>35</v>
      </c>
      <c r="AA35" s="4">
        <v>35</v>
      </c>
      <c r="AB35" s="4">
        <v>35</v>
      </c>
      <c r="AC35" s="4">
        <v>35</v>
      </c>
      <c r="AD35" s="3" t="s">
        <v>219</v>
      </c>
      <c r="AE35" s="6">
        <v>46203</v>
      </c>
      <c r="AF35" s="4" t="s">
        <v>390</v>
      </c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x14ac:dyDescent="0.25">
      <c r="A36" s="4">
        <v>2026</v>
      </c>
      <c r="B36" s="6">
        <v>46113</v>
      </c>
      <c r="C36" s="6">
        <v>46203</v>
      </c>
      <c r="D36" s="3" t="s">
        <v>84</v>
      </c>
      <c r="E36" s="3">
        <v>3</v>
      </c>
      <c r="F36" s="3" t="s">
        <v>310</v>
      </c>
      <c r="G36" s="3" t="str">
        <f t="shared" si="0"/>
        <v>ENCARGADA DEL DEPARTAMENTO DE MEDICION Y FACTURACION</v>
      </c>
      <c r="H36" s="3" t="s">
        <v>221</v>
      </c>
      <c r="I36" s="3" t="s">
        <v>311</v>
      </c>
      <c r="J36" s="3" t="s">
        <v>308</v>
      </c>
      <c r="K36" s="3" t="s">
        <v>309</v>
      </c>
      <c r="L36" s="3" t="s">
        <v>92</v>
      </c>
      <c r="M36" s="8">
        <f>8331.16*2</f>
        <v>16662.32</v>
      </c>
      <c r="N36" s="3" t="s">
        <v>218</v>
      </c>
      <c r="O36" s="5">
        <v>15586.08</v>
      </c>
      <c r="P36" s="3" t="s">
        <v>218</v>
      </c>
      <c r="Q36" s="4">
        <v>36</v>
      </c>
      <c r="R36" s="4">
        <v>36</v>
      </c>
      <c r="S36" s="4">
        <v>36</v>
      </c>
      <c r="T36" s="4">
        <v>36</v>
      </c>
      <c r="U36" s="4">
        <v>36</v>
      </c>
      <c r="V36" s="4">
        <v>36</v>
      </c>
      <c r="W36" s="4">
        <v>36</v>
      </c>
      <c r="X36" s="4">
        <v>36</v>
      </c>
      <c r="Y36" s="4">
        <v>36</v>
      </c>
      <c r="Z36" s="4">
        <v>36</v>
      </c>
      <c r="AA36" s="4">
        <v>36</v>
      </c>
      <c r="AB36" s="4">
        <v>36</v>
      </c>
      <c r="AC36" s="4">
        <v>36</v>
      </c>
      <c r="AD36" s="3" t="s">
        <v>219</v>
      </c>
      <c r="AE36" s="6">
        <v>46203</v>
      </c>
      <c r="AF36" s="4" t="s">
        <v>390</v>
      </c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x14ac:dyDescent="0.25">
      <c r="A37" s="4">
        <v>2026</v>
      </c>
      <c r="B37" s="6">
        <v>46113</v>
      </c>
      <c r="C37" s="6">
        <v>46203</v>
      </c>
      <c r="D37" s="3" t="s">
        <v>84</v>
      </c>
      <c r="E37" s="3">
        <v>5</v>
      </c>
      <c r="F37" s="3" t="s">
        <v>295</v>
      </c>
      <c r="G37" s="3" t="str">
        <f t="shared" si="0"/>
        <v>PEON GENERAL</v>
      </c>
      <c r="H37" s="3" t="s">
        <v>231</v>
      </c>
      <c r="I37" s="3" t="s">
        <v>312</v>
      </c>
      <c r="J37" s="3" t="s">
        <v>313</v>
      </c>
      <c r="K37" s="3" t="s">
        <v>314</v>
      </c>
      <c r="L37" s="3" t="s">
        <v>91</v>
      </c>
      <c r="M37" s="8">
        <f>1882.59*2</f>
        <v>3765.18</v>
      </c>
      <c r="N37" s="3" t="s">
        <v>218</v>
      </c>
      <c r="O37" s="5">
        <v>8956.94</v>
      </c>
      <c r="P37" s="3" t="s">
        <v>218</v>
      </c>
      <c r="Q37" s="4">
        <v>37</v>
      </c>
      <c r="R37" s="4">
        <v>37</v>
      </c>
      <c r="S37" s="4">
        <v>37</v>
      </c>
      <c r="T37" s="4">
        <v>37</v>
      </c>
      <c r="U37" s="4">
        <v>37</v>
      </c>
      <c r="V37" s="4">
        <v>37</v>
      </c>
      <c r="W37" s="4">
        <v>37</v>
      </c>
      <c r="X37" s="4">
        <v>37</v>
      </c>
      <c r="Y37" s="4">
        <v>37</v>
      </c>
      <c r="Z37" s="4">
        <v>37</v>
      </c>
      <c r="AA37" s="4">
        <v>37</v>
      </c>
      <c r="AB37" s="4">
        <v>37</v>
      </c>
      <c r="AC37" s="4">
        <v>37</v>
      </c>
      <c r="AD37" s="3" t="s">
        <v>219</v>
      </c>
      <c r="AE37" s="6">
        <v>46203</v>
      </c>
      <c r="AF37" s="4" t="s">
        <v>390</v>
      </c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x14ac:dyDescent="0.25">
      <c r="A38" s="4">
        <v>2026</v>
      </c>
      <c r="B38" s="6">
        <v>46113</v>
      </c>
      <c r="C38" s="6">
        <v>46203</v>
      </c>
      <c r="D38" s="3" t="s">
        <v>84</v>
      </c>
      <c r="E38" s="3">
        <v>3</v>
      </c>
      <c r="F38" s="3" t="s">
        <v>315</v>
      </c>
      <c r="G38" s="3" t="str">
        <f t="shared" si="0"/>
        <v>ENCARGADA DE CONTRATACION Y ATENCION DE ATENCION A USUARIOS</v>
      </c>
      <c r="H38" s="3" t="s">
        <v>221</v>
      </c>
      <c r="I38" s="3" t="s">
        <v>316</v>
      </c>
      <c r="J38" s="3" t="s">
        <v>317</v>
      </c>
      <c r="K38" s="3" t="s">
        <v>318</v>
      </c>
      <c r="L38" s="3" t="s">
        <v>92</v>
      </c>
      <c r="M38" s="8">
        <f>4249.51*2</f>
        <v>8499.02</v>
      </c>
      <c r="N38" s="3" t="s">
        <v>218</v>
      </c>
      <c r="O38" s="5">
        <v>7477.12</v>
      </c>
      <c r="P38" s="3" t="s">
        <v>218</v>
      </c>
      <c r="Q38" s="4">
        <v>38</v>
      </c>
      <c r="R38" s="4">
        <v>38</v>
      </c>
      <c r="S38" s="4">
        <v>38</v>
      </c>
      <c r="T38" s="4">
        <v>38</v>
      </c>
      <c r="U38" s="4">
        <v>38</v>
      </c>
      <c r="V38" s="4">
        <v>38</v>
      </c>
      <c r="W38" s="4">
        <v>38</v>
      </c>
      <c r="X38" s="4">
        <v>38</v>
      </c>
      <c r="Y38" s="4">
        <v>38</v>
      </c>
      <c r="Z38" s="4">
        <v>38</v>
      </c>
      <c r="AA38" s="4">
        <v>38</v>
      </c>
      <c r="AB38" s="4">
        <v>38</v>
      </c>
      <c r="AC38" s="4">
        <v>38</v>
      </c>
      <c r="AD38" s="3" t="s">
        <v>219</v>
      </c>
      <c r="AE38" s="6">
        <v>46203</v>
      </c>
      <c r="AF38" s="4" t="s">
        <v>390</v>
      </c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x14ac:dyDescent="0.25">
      <c r="A39" s="4">
        <v>2026</v>
      </c>
      <c r="B39" s="6">
        <v>46113</v>
      </c>
      <c r="C39" s="6">
        <v>46203</v>
      </c>
      <c r="D39" s="3" t="s">
        <v>88</v>
      </c>
      <c r="E39" s="3">
        <v>5</v>
      </c>
      <c r="F39" s="3" t="s">
        <v>319</v>
      </c>
      <c r="G39" s="3" t="str">
        <f t="shared" si="0"/>
        <v>ENCARGADA DE SISTEMA RURAL</v>
      </c>
      <c r="H39" s="3" t="s">
        <v>221</v>
      </c>
      <c r="I39" s="3" t="s">
        <v>320</v>
      </c>
      <c r="J39" s="3" t="s">
        <v>321</v>
      </c>
      <c r="K39" s="3" t="s">
        <v>322</v>
      </c>
      <c r="L39" s="3" t="s">
        <v>92</v>
      </c>
      <c r="M39" s="8">
        <f>5261.08*2</f>
        <v>10522.16</v>
      </c>
      <c r="N39" s="3" t="s">
        <v>218</v>
      </c>
      <c r="O39" s="5">
        <v>9748.08</v>
      </c>
      <c r="P39" s="3" t="s">
        <v>218</v>
      </c>
      <c r="Q39" s="4">
        <v>39</v>
      </c>
      <c r="R39" s="4">
        <v>39</v>
      </c>
      <c r="S39" s="4">
        <v>39</v>
      </c>
      <c r="T39" s="4">
        <v>39</v>
      </c>
      <c r="U39" s="4">
        <v>39</v>
      </c>
      <c r="V39" s="4">
        <v>39</v>
      </c>
      <c r="W39" s="4">
        <v>39</v>
      </c>
      <c r="X39" s="4">
        <v>39</v>
      </c>
      <c r="Y39" s="4">
        <v>39</v>
      </c>
      <c r="Z39" s="4">
        <v>39</v>
      </c>
      <c r="AA39" s="4">
        <v>39</v>
      </c>
      <c r="AB39" s="4">
        <v>39</v>
      </c>
      <c r="AC39" s="4">
        <v>39</v>
      </c>
      <c r="AD39" s="3" t="s">
        <v>219</v>
      </c>
      <c r="AE39" s="6">
        <v>46203</v>
      </c>
      <c r="AF39" s="4" t="s">
        <v>390</v>
      </c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x14ac:dyDescent="0.25">
      <c r="A40" s="4">
        <v>2026</v>
      </c>
      <c r="B40" s="6">
        <v>46113</v>
      </c>
      <c r="C40" s="6">
        <v>46203</v>
      </c>
      <c r="D40" s="3" t="s">
        <v>84</v>
      </c>
      <c r="E40" s="3">
        <v>5</v>
      </c>
      <c r="F40" s="3" t="s">
        <v>323</v>
      </c>
      <c r="G40" s="3" t="str">
        <f t="shared" si="0"/>
        <v>AUXILIAR ADMINISTRATIVO AREA COMERCIAL</v>
      </c>
      <c r="H40" s="3" t="s">
        <v>221</v>
      </c>
      <c r="I40" s="3" t="s">
        <v>324</v>
      </c>
      <c r="J40" s="3" t="s">
        <v>321</v>
      </c>
      <c r="K40" s="3" t="s">
        <v>325</v>
      </c>
      <c r="L40" s="3" t="s">
        <v>91</v>
      </c>
      <c r="M40" s="8">
        <f>2946.74*2</f>
        <v>5893.48</v>
      </c>
      <c r="N40" s="3" t="s">
        <v>218</v>
      </c>
      <c r="O40" s="5">
        <v>5296.98</v>
      </c>
      <c r="P40" s="3" t="s">
        <v>218</v>
      </c>
      <c r="Q40" s="4">
        <v>40</v>
      </c>
      <c r="R40" s="4">
        <v>40</v>
      </c>
      <c r="S40" s="4">
        <v>40</v>
      </c>
      <c r="T40" s="4">
        <v>40</v>
      </c>
      <c r="U40" s="4">
        <v>40</v>
      </c>
      <c r="V40" s="4">
        <v>40</v>
      </c>
      <c r="W40" s="4">
        <v>40</v>
      </c>
      <c r="X40" s="4">
        <v>40</v>
      </c>
      <c r="Y40" s="4">
        <v>40</v>
      </c>
      <c r="Z40" s="4">
        <v>40</v>
      </c>
      <c r="AA40" s="4">
        <v>40</v>
      </c>
      <c r="AB40" s="4">
        <v>40</v>
      </c>
      <c r="AC40" s="4">
        <v>40</v>
      </c>
      <c r="AD40" s="3" t="s">
        <v>219</v>
      </c>
      <c r="AE40" s="6">
        <v>46203</v>
      </c>
      <c r="AF40" s="4" t="s">
        <v>390</v>
      </c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x14ac:dyDescent="0.25">
      <c r="A41" s="4">
        <v>2026</v>
      </c>
      <c r="B41" s="6">
        <v>46113</v>
      </c>
      <c r="C41" s="6">
        <v>46203</v>
      </c>
      <c r="D41" s="3" t="s">
        <v>84</v>
      </c>
      <c r="E41" s="3">
        <v>5</v>
      </c>
      <c r="F41" s="3" t="s">
        <v>265</v>
      </c>
      <c r="G41" s="3" t="str">
        <f t="shared" si="0"/>
        <v>AUXILIAR DE CONTABILIDAD</v>
      </c>
      <c r="H41" s="3" t="s">
        <v>214</v>
      </c>
      <c r="I41" s="3" t="s">
        <v>326</v>
      </c>
      <c r="J41" s="3" t="s">
        <v>327</v>
      </c>
      <c r="K41" s="3" t="s">
        <v>301</v>
      </c>
      <c r="L41" s="3" t="s">
        <v>91</v>
      </c>
      <c r="M41" s="8">
        <f>8593.86*2</f>
        <v>17187.72</v>
      </c>
      <c r="N41" s="3" t="s">
        <v>218</v>
      </c>
      <c r="O41" s="5">
        <v>16226.82</v>
      </c>
      <c r="P41" s="3" t="s">
        <v>218</v>
      </c>
      <c r="Q41" s="4">
        <v>41</v>
      </c>
      <c r="R41" s="4">
        <v>41</v>
      </c>
      <c r="S41" s="4">
        <v>41</v>
      </c>
      <c r="T41" s="4">
        <v>41</v>
      </c>
      <c r="U41" s="4">
        <v>41</v>
      </c>
      <c r="V41" s="4">
        <v>41</v>
      </c>
      <c r="W41" s="4">
        <v>41</v>
      </c>
      <c r="X41" s="4">
        <v>41</v>
      </c>
      <c r="Y41" s="4">
        <v>41</v>
      </c>
      <c r="Z41" s="4">
        <v>41</v>
      </c>
      <c r="AA41" s="4">
        <v>41</v>
      </c>
      <c r="AB41" s="4">
        <v>41</v>
      </c>
      <c r="AC41" s="4">
        <v>41</v>
      </c>
      <c r="AD41" s="3" t="s">
        <v>219</v>
      </c>
      <c r="AE41" s="6">
        <v>46203</v>
      </c>
      <c r="AF41" s="4" t="s">
        <v>390</v>
      </c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x14ac:dyDescent="0.25">
      <c r="A42" s="4">
        <v>2026</v>
      </c>
      <c r="B42" s="6">
        <v>46113</v>
      </c>
      <c r="C42" s="6">
        <v>46203</v>
      </c>
      <c r="D42" s="3" t="s">
        <v>84</v>
      </c>
      <c r="E42" s="3">
        <v>5</v>
      </c>
      <c r="F42" s="3" t="s">
        <v>220</v>
      </c>
      <c r="G42" s="3" t="str">
        <f t="shared" si="0"/>
        <v>AUXILIAR OPERATIVO DEL AREA COMERCIAL</v>
      </c>
      <c r="H42" s="3" t="s">
        <v>231</v>
      </c>
      <c r="I42" s="3" t="s">
        <v>328</v>
      </c>
      <c r="J42" s="3" t="s">
        <v>294</v>
      </c>
      <c r="K42" s="3" t="s">
        <v>329</v>
      </c>
      <c r="L42" s="3" t="s">
        <v>91</v>
      </c>
      <c r="M42" s="8">
        <f>5881.41*2</f>
        <v>11762.82</v>
      </c>
      <c r="N42" s="3" t="s">
        <v>218</v>
      </c>
      <c r="O42" s="5">
        <v>11060.88</v>
      </c>
      <c r="P42" s="3" t="s">
        <v>218</v>
      </c>
      <c r="Q42" s="4">
        <v>42</v>
      </c>
      <c r="R42" s="4">
        <v>42</v>
      </c>
      <c r="S42" s="4">
        <v>42</v>
      </c>
      <c r="T42" s="4">
        <v>42</v>
      </c>
      <c r="U42" s="4">
        <v>42</v>
      </c>
      <c r="V42" s="4">
        <v>42</v>
      </c>
      <c r="W42" s="4">
        <v>42</v>
      </c>
      <c r="X42" s="4">
        <v>42</v>
      </c>
      <c r="Y42" s="4">
        <v>42</v>
      </c>
      <c r="Z42" s="4">
        <v>42</v>
      </c>
      <c r="AA42" s="4">
        <v>42</v>
      </c>
      <c r="AB42" s="4">
        <v>42</v>
      </c>
      <c r="AC42" s="4">
        <v>42</v>
      </c>
      <c r="AD42" s="3" t="s">
        <v>219</v>
      </c>
      <c r="AE42" s="6">
        <v>46203</v>
      </c>
      <c r="AF42" s="4" t="s">
        <v>390</v>
      </c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x14ac:dyDescent="0.25">
      <c r="A43" s="4">
        <v>2026</v>
      </c>
      <c r="B43" s="6">
        <v>46113</v>
      </c>
      <c r="C43" s="6">
        <v>46203</v>
      </c>
      <c r="D43" s="3" t="s">
        <v>84</v>
      </c>
      <c r="E43" s="3">
        <v>5</v>
      </c>
      <c r="F43" s="3" t="s">
        <v>295</v>
      </c>
      <c r="G43" s="3" t="str">
        <f t="shared" si="0"/>
        <v>PEON GENERAL</v>
      </c>
      <c r="H43" s="3" t="s">
        <v>221</v>
      </c>
      <c r="I43" s="3" t="s">
        <v>330</v>
      </c>
      <c r="J43" s="3" t="s">
        <v>331</v>
      </c>
      <c r="K43" s="3" t="s">
        <v>332</v>
      </c>
      <c r="L43" s="3" t="s">
        <v>91</v>
      </c>
      <c r="M43" s="8">
        <f>2647.9*2</f>
        <v>5295.8</v>
      </c>
      <c r="N43" s="3" t="s">
        <v>218</v>
      </c>
      <c r="O43" s="5">
        <v>5194.1000000000004</v>
      </c>
      <c r="P43" s="3" t="s">
        <v>218</v>
      </c>
      <c r="Q43" s="4">
        <v>43</v>
      </c>
      <c r="R43" s="4">
        <v>43</v>
      </c>
      <c r="S43" s="4">
        <v>43</v>
      </c>
      <c r="T43" s="4">
        <v>43</v>
      </c>
      <c r="U43" s="4">
        <v>43</v>
      </c>
      <c r="V43" s="4">
        <v>43</v>
      </c>
      <c r="W43" s="4">
        <v>43</v>
      </c>
      <c r="X43" s="4">
        <v>43</v>
      </c>
      <c r="Y43" s="4">
        <v>43</v>
      </c>
      <c r="Z43" s="4">
        <v>43</v>
      </c>
      <c r="AA43" s="4">
        <v>43</v>
      </c>
      <c r="AB43" s="4">
        <v>43</v>
      </c>
      <c r="AC43" s="4">
        <v>43</v>
      </c>
      <c r="AD43" s="3" t="s">
        <v>219</v>
      </c>
      <c r="AE43" s="6">
        <v>46203</v>
      </c>
      <c r="AF43" s="4" t="s">
        <v>390</v>
      </c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x14ac:dyDescent="0.25">
      <c r="A44" s="4">
        <v>2026</v>
      </c>
      <c r="B44" s="6">
        <v>46113</v>
      </c>
      <c r="C44" s="6">
        <v>46203</v>
      </c>
      <c r="D44" s="3" t="s">
        <v>84</v>
      </c>
      <c r="E44" s="3">
        <v>5</v>
      </c>
      <c r="F44" s="3" t="s">
        <v>333</v>
      </c>
      <c r="G44" s="3" t="str">
        <f t="shared" si="0"/>
        <v>AUXILIAR DE ALBAÑIL</v>
      </c>
      <c r="H44" s="3" t="s">
        <v>231</v>
      </c>
      <c r="I44" s="3" t="s">
        <v>334</v>
      </c>
      <c r="J44" s="3" t="s">
        <v>335</v>
      </c>
      <c r="K44" s="3" t="s">
        <v>336</v>
      </c>
      <c r="L44" s="3" t="s">
        <v>91</v>
      </c>
      <c r="M44" s="8">
        <f>4834.38*2</f>
        <v>9668.76</v>
      </c>
      <c r="N44" s="3" t="s">
        <v>218</v>
      </c>
      <c r="O44" s="5">
        <v>9085.56</v>
      </c>
      <c r="P44" s="3" t="s">
        <v>218</v>
      </c>
      <c r="Q44" s="4">
        <v>44</v>
      </c>
      <c r="R44" s="4">
        <v>44</v>
      </c>
      <c r="S44" s="4">
        <v>44</v>
      </c>
      <c r="T44" s="4">
        <v>44</v>
      </c>
      <c r="U44" s="4">
        <v>44</v>
      </c>
      <c r="V44" s="4">
        <v>44</v>
      </c>
      <c r="W44" s="4">
        <v>44</v>
      </c>
      <c r="X44" s="4">
        <v>44</v>
      </c>
      <c r="Y44" s="4">
        <v>44</v>
      </c>
      <c r="Z44" s="4">
        <v>44</v>
      </c>
      <c r="AA44" s="4">
        <v>44</v>
      </c>
      <c r="AB44" s="4">
        <v>44</v>
      </c>
      <c r="AC44" s="4">
        <v>44</v>
      </c>
      <c r="AD44" s="3" t="s">
        <v>219</v>
      </c>
      <c r="AE44" s="6">
        <v>46203</v>
      </c>
      <c r="AF44" s="4" t="s">
        <v>390</v>
      </c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x14ac:dyDescent="0.25">
      <c r="A45" s="4">
        <v>2026</v>
      </c>
      <c r="B45" s="6">
        <v>46113</v>
      </c>
      <c r="C45" s="6">
        <v>46203</v>
      </c>
      <c r="D45" s="3" t="s">
        <v>84</v>
      </c>
      <c r="E45" s="3">
        <v>5</v>
      </c>
      <c r="F45" s="3" t="s">
        <v>220</v>
      </c>
      <c r="G45" s="3" t="str">
        <f t="shared" si="0"/>
        <v>AUXILIAR OPERATIVO DEL AREA COMERCIAL</v>
      </c>
      <c r="H45" s="3" t="s">
        <v>221</v>
      </c>
      <c r="I45" s="3" t="s">
        <v>337</v>
      </c>
      <c r="J45" s="3" t="s">
        <v>335</v>
      </c>
      <c r="K45" s="3" t="s">
        <v>338</v>
      </c>
      <c r="L45" s="3" t="s">
        <v>92</v>
      </c>
      <c r="M45" s="8">
        <f>4711.56*2</f>
        <v>9423.1200000000008</v>
      </c>
      <c r="N45" s="3" t="s">
        <v>218</v>
      </c>
      <c r="O45" s="5">
        <v>9153.2000000000007</v>
      </c>
      <c r="P45" s="3" t="s">
        <v>218</v>
      </c>
      <c r="Q45" s="4">
        <v>45</v>
      </c>
      <c r="R45" s="4">
        <v>45</v>
      </c>
      <c r="S45" s="4">
        <v>45</v>
      </c>
      <c r="T45" s="4">
        <v>45</v>
      </c>
      <c r="U45" s="4">
        <v>45</v>
      </c>
      <c r="V45" s="4">
        <v>45</v>
      </c>
      <c r="W45" s="4">
        <v>45</v>
      </c>
      <c r="X45" s="4">
        <v>45</v>
      </c>
      <c r="Y45" s="4">
        <v>45</v>
      </c>
      <c r="Z45" s="4">
        <v>45</v>
      </c>
      <c r="AA45" s="4">
        <v>45</v>
      </c>
      <c r="AB45" s="4">
        <v>45</v>
      </c>
      <c r="AC45" s="4">
        <v>45</v>
      </c>
      <c r="AD45" s="3" t="s">
        <v>219</v>
      </c>
      <c r="AE45" s="6">
        <v>46203</v>
      </c>
      <c r="AF45" s="4" t="s">
        <v>390</v>
      </c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x14ac:dyDescent="0.25">
      <c r="A46" s="4">
        <v>2026</v>
      </c>
      <c r="B46" s="6">
        <v>46113</v>
      </c>
      <c r="C46" s="6">
        <v>46203</v>
      </c>
      <c r="D46" s="3" t="s">
        <v>84</v>
      </c>
      <c r="E46" s="3">
        <v>5</v>
      </c>
      <c r="F46" s="3" t="s">
        <v>239</v>
      </c>
      <c r="G46" s="3" t="str">
        <f t="shared" si="0"/>
        <v>FONTANERO</v>
      </c>
      <c r="H46" s="3" t="s">
        <v>231</v>
      </c>
      <c r="I46" s="3" t="s">
        <v>339</v>
      </c>
      <c r="J46" s="3" t="s">
        <v>335</v>
      </c>
      <c r="K46" s="3" t="s">
        <v>340</v>
      </c>
      <c r="L46" s="3" t="s">
        <v>91</v>
      </c>
      <c r="M46" s="8">
        <f>3297.7*2</f>
        <v>6595.4</v>
      </c>
      <c r="N46" s="3" t="s">
        <v>218</v>
      </c>
      <c r="O46" s="5">
        <v>4929.28</v>
      </c>
      <c r="P46" s="3" t="s">
        <v>218</v>
      </c>
      <c r="Q46" s="4">
        <v>46</v>
      </c>
      <c r="R46" s="4">
        <v>46</v>
      </c>
      <c r="S46" s="4">
        <v>46</v>
      </c>
      <c r="T46" s="4">
        <v>46</v>
      </c>
      <c r="U46" s="4">
        <v>46</v>
      </c>
      <c r="V46" s="4">
        <v>46</v>
      </c>
      <c r="W46" s="4">
        <v>46</v>
      </c>
      <c r="X46" s="4">
        <v>46</v>
      </c>
      <c r="Y46" s="4">
        <v>46</v>
      </c>
      <c r="Z46" s="4">
        <v>46</v>
      </c>
      <c r="AA46" s="4">
        <v>46</v>
      </c>
      <c r="AB46" s="4">
        <v>46</v>
      </c>
      <c r="AC46" s="4">
        <v>46</v>
      </c>
      <c r="AD46" s="3" t="s">
        <v>219</v>
      </c>
      <c r="AE46" s="6">
        <v>46203</v>
      </c>
      <c r="AF46" s="4" t="s">
        <v>390</v>
      </c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x14ac:dyDescent="0.25">
      <c r="A47" s="4">
        <v>2026</v>
      </c>
      <c r="B47" s="6">
        <v>46113</v>
      </c>
      <c r="C47" s="6">
        <v>46203</v>
      </c>
      <c r="D47" s="3" t="s">
        <v>84</v>
      </c>
      <c r="E47" s="3">
        <v>5</v>
      </c>
      <c r="F47" s="3" t="s">
        <v>281</v>
      </c>
      <c r="G47" s="3" t="str">
        <f t="shared" si="0"/>
        <v>AUXILIAR ADMINISTRATIVO ALMACEN</v>
      </c>
      <c r="H47" s="3" t="s">
        <v>214</v>
      </c>
      <c r="I47" s="3" t="s">
        <v>341</v>
      </c>
      <c r="J47" s="3" t="s">
        <v>342</v>
      </c>
      <c r="K47" s="3" t="s">
        <v>340</v>
      </c>
      <c r="L47" s="3" t="s">
        <v>92</v>
      </c>
      <c r="M47" s="8">
        <f>902.31*2</f>
        <v>1804.62</v>
      </c>
      <c r="N47" s="3" t="s">
        <v>218</v>
      </c>
      <c r="O47" s="5">
        <v>6535.34</v>
      </c>
      <c r="P47" s="3" t="s">
        <v>218</v>
      </c>
      <c r="Q47" s="4">
        <v>47</v>
      </c>
      <c r="R47" s="4">
        <v>47</v>
      </c>
      <c r="S47" s="4">
        <v>47</v>
      </c>
      <c r="T47" s="4">
        <v>47</v>
      </c>
      <c r="U47" s="4">
        <v>47</v>
      </c>
      <c r="V47" s="4">
        <v>47</v>
      </c>
      <c r="W47" s="4">
        <v>47</v>
      </c>
      <c r="X47" s="4">
        <v>47</v>
      </c>
      <c r="Y47" s="4">
        <v>47</v>
      </c>
      <c r="Z47" s="4">
        <v>47</v>
      </c>
      <c r="AA47" s="4">
        <v>47</v>
      </c>
      <c r="AB47" s="4">
        <v>47</v>
      </c>
      <c r="AC47" s="4">
        <v>47</v>
      </c>
      <c r="AD47" s="3" t="s">
        <v>219</v>
      </c>
      <c r="AE47" s="6">
        <v>46203</v>
      </c>
      <c r="AF47" s="4" t="s">
        <v>390</v>
      </c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x14ac:dyDescent="0.25">
      <c r="A48" s="4">
        <v>2026</v>
      </c>
      <c r="B48" s="6">
        <v>46113</v>
      </c>
      <c r="C48" s="6">
        <v>46203</v>
      </c>
      <c r="D48" s="3" t="s">
        <v>84</v>
      </c>
      <c r="E48" s="3">
        <v>5</v>
      </c>
      <c r="F48" s="3" t="s">
        <v>277</v>
      </c>
      <c r="G48" s="3" t="str">
        <f t="shared" si="0"/>
        <v>SECRETARIA</v>
      </c>
      <c r="H48" s="3" t="s">
        <v>214</v>
      </c>
      <c r="I48" s="3" t="s">
        <v>343</v>
      </c>
      <c r="J48" s="3" t="s">
        <v>344</v>
      </c>
      <c r="K48" s="3" t="s">
        <v>345</v>
      </c>
      <c r="L48" s="3" t="s">
        <v>92</v>
      </c>
      <c r="M48" s="8">
        <f>7815.52*2</f>
        <v>15631.04</v>
      </c>
      <c r="N48" s="3" t="s">
        <v>218</v>
      </c>
      <c r="O48" s="5">
        <v>14430.64</v>
      </c>
      <c r="P48" s="3" t="s">
        <v>218</v>
      </c>
      <c r="Q48" s="4">
        <v>48</v>
      </c>
      <c r="R48" s="4">
        <v>48</v>
      </c>
      <c r="S48" s="4">
        <v>48</v>
      </c>
      <c r="T48" s="4">
        <v>48</v>
      </c>
      <c r="U48" s="4">
        <v>48</v>
      </c>
      <c r="V48" s="4">
        <v>48</v>
      </c>
      <c r="W48" s="4">
        <v>48</v>
      </c>
      <c r="X48" s="4">
        <v>48</v>
      </c>
      <c r="Y48" s="4">
        <v>48</v>
      </c>
      <c r="Z48" s="4">
        <v>48</v>
      </c>
      <c r="AA48" s="4">
        <v>48</v>
      </c>
      <c r="AB48" s="4">
        <v>48</v>
      </c>
      <c r="AC48" s="4">
        <v>48</v>
      </c>
      <c r="AD48" s="3" t="s">
        <v>219</v>
      </c>
      <c r="AE48" s="6">
        <v>46203</v>
      </c>
      <c r="AF48" s="4" t="s">
        <v>390</v>
      </c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x14ac:dyDescent="0.25">
      <c r="A49" s="4">
        <v>2026</v>
      </c>
      <c r="B49" s="6">
        <v>46113</v>
      </c>
      <c r="C49" s="6">
        <v>46203</v>
      </c>
      <c r="D49" s="3" t="s">
        <v>84</v>
      </c>
      <c r="E49" s="3">
        <v>3</v>
      </c>
      <c r="F49" s="3" t="s">
        <v>346</v>
      </c>
      <c r="G49" s="3" t="str">
        <f t="shared" si="0"/>
        <v>CAJERA</v>
      </c>
      <c r="H49" s="3" t="s">
        <v>214</v>
      </c>
      <c r="I49" s="3" t="s">
        <v>347</v>
      </c>
      <c r="J49" s="3" t="s">
        <v>348</v>
      </c>
      <c r="K49" s="3" t="s">
        <v>308</v>
      </c>
      <c r="L49" s="3" t="s">
        <v>92</v>
      </c>
      <c r="M49" s="8">
        <f>7106.4*2</f>
        <v>14212.8</v>
      </c>
      <c r="N49" s="3" t="s">
        <v>218</v>
      </c>
      <c r="O49" s="5">
        <v>13224.86</v>
      </c>
      <c r="P49" s="3" t="s">
        <v>218</v>
      </c>
      <c r="Q49" s="4">
        <v>49</v>
      </c>
      <c r="R49" s="4">
        <v>49</v>
      </c>
      <c r="S49" s="4">
        <v>49</v>
      </c>
      <c r="T49" s="4">
        <v>49</v>
      </c>
      <c r="U49" s="4">
        <v>49</v>
      </c>
      <c r="V49" s="4">
        <v>49</v>
      </c>
      <c r="W49" s="4">
        <v>49</v>
      </c>
      <c r="X49" s="4">
        <v>49</v>
      </c>
      <c r="Y49" s="4">
        <v>49</v>
      </c>
      <c r="Z49" s="4">
        <v>49</v>
      </c>
      <c r="AA49" s="4">
        <v>49</v>
      </c>
      <c r="AB49" s="4">
        <v>49</v>
      </c>
      <c r="AC49" s="4">
        <v>49</v>
      </c>
      <c r="AD49" s="3" t="s">
        <v>219</v>
      </c>
      <c r="AE49" s="6">
        <v>46203</v>
      </c>
      <c r="AF49" s="4" t="s">
        <v>390</v>
      </c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x14ac:dyDescent="0.25">
      <c r="A50" s="4">
        <v>2026</v>
      </c>
      <c r="B50" s="6">
        <v>46113</v>
      </c>
      <c r="C50" s="6">
        <v>46203</v>
      </c>
      <c r="D50" s="3" t="s">
        <v>88</v>
      </c>
      <c r="E50" s="3">
        <v>2</v>
      </c>
      <c r="F50" s="3" t="s">
        <v>349</v>
      </c>
      <c r="G50" s="3" t="str">
        <f t="shared" si="0"/>
        <v>SUBDIRECTOR COMERCIAL</v>
      </c>
      <c r="H50" s="3" t="s">
        <v>221</v>
      </c>
      <c r="I50" s="3" t="s">
        <v>350</v>
      </c>
      <c r="J50" s="3" t="s">
        <v>348</v>
      </c>
      <c r="K50" s="3" t="s">
        <v>351</v>
      </c>
      <c r="L50" s="3" t="s">
        <v>91</v>
      </c>
      <c r="M50" s="8">
        <f>12221.71*2</f>
        <v>24443.42</v>
      </c>
      <c r="N50" s="3" t="s">
        <v>218</v>
      </c>
      <c r="O50" s="5">
        <v>22989.360000000001</v>
      </c>
      <c r="P50" s="3" t="s">
        <v>218</v>
      </c>
      <c r="Q50" s="4">
        <v>50</v>
      </c>
      <c r="R50" s="4">
        <v>50</v>
      </c>
      <c r="S50" s="4">
        <v>50</v>
      </c>
      <c r="T50" s="4">
        <v>50</v>
      </c>
      <c r="U50" s="4">
        <v>50</v>
      </c>
      <c r="V50" s="4">
        <v>50</v>
      </c>
      <c r="W50" s="4">
        <v>50</v>
      </c>
      <c r="X50" s="4">
        <v>50</v>
      </c>
      <c r="Y50" s="4">
        <v>50</v>
      </c>
      <c r="Z50" s="4">
        <v>50</v>
      </c>
      <c r="AA50" s="4">
        <v>50</v>
      </c>
      <c r="AB50" s="4">
        <v>50</v>
      </c>
      <c r="AC50" s="4">
        <v>50</v>
      </c>
      <c r="AD50" s="3" t="s">
        <v>219</v>
      </c>
      <c r="AE50" s="6">
        <v>46203</v>
      </c>
      <c r="AF50" s="4" t="s">
        <v>390</v>
      </c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x14ac:dyDescent="0.25">
      <c r="A51" s="4">
        <v>2026</v>
      </c>
      <c r="B51" s="6">
        <v>46113</v>
      </c>
      <c r="C51" s="6">
        <v>46203</v>
      </c>
      <c r="D51" s="3" t="s">
        <v>84</v>
      </c>
      <c r="E51" s="3">
        <v>5</v>
      </c>
      <c r="F51" s="3" t="s">
        <v>352</v>
      </c>
      <c r="G51" s="3" t="str">
        <f t="shared" si="0"/>
        <v>OPERADOR DE BOMBA</v>
      </c>
      <c r="H51" s="3" t="s">
        <v>231</v>
      </c>
      <c r="I51" s="3" t="s">
        <v>353</v>
      </c>
      <c r="J51" s="3" t="s">
        <v>354</v>
      </c>
      <c r="K51" s="3" t="s">
        <v>355</v>
      </c>
      <c r="L51" s="3" t="s">
        <v>91</v>
      </c>
      <c r="M51" s="8">
        <f>3216.98*2</f>
        <v>6433.96</v>
      </c>
      <c r="N51" s="3" t="s">
        <v>218</v>
      </c>
      <c r="O51" s="5">
        <v>5704.34</v>
      </c>
      <c r="P51" s="3" t="s">
        <v>218</v>
      </c>
      <c r="Q51" s="4">
        <v>51</v>
      </c>
      <c r="R51" s="4">
        <v>51</v>
      </c>
      <c r="S51" s="4">
        <v>51</v>
      </c>
      <c r="T51" s="4">
        <v>51</v>
      </c>
      <c r="U51" s="4">
        <v>51</v>
      </c>
      <c r="V51" s="4">
        <v>51</v>
      </c>
      <c r="W51" s="4">
        <v>51</v>
      </c>
      <c r="X51" s="4">
        <v>51</v>
      </c>
      <c r="Y51" s="4">
        <v>51</v>
      </c>
      <c r="Z51" s="4">
        <v>51</v>
      </c>
      <c r="AA51" s="4">
        <v>51</v>
      </c>
      <c r="AB51" s="4">
        <v>51</v>
      </c>
      <c r="AC51" s="4">
        <v>51</v>
      </c>
      <c r="AD51" s="3" t="s">
        <v>219</v>
      </c>
      <c r="AE51" s="6">
        <v>46203</v>
      </c>
      <c r="AF51" s="4" t="s">
        <v>390</v>
      </c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x14ac:dyDescent="0.25">
      <c r="A52" s="4">
        <v>2026</v>
      </c>
      <c r="B52" s="6">
        <v>46113</v>
      </c>
      <c r="C52" s="6">
        <v>46203</v>
      </c>
      <c r="D52" s="3" t="s">
        <v>84</v>
      </c>
      <c r="E52" s="3">
        <v>5</v>
      </c>
      <c r="F52" s="3" t="s">
        <v>235</v>
      </c>
      <c r="G52" s="3" t="str">
        <f t="shared" si="0"/>
        <v>AUXILIAR ELECTROMECANICO</v>
      </c>
      <c r="H52" s="3" t="s">
        <v>231</v>
      </c>
      <c r="I52" s="3" t="s">
        <v>356</v>
      </c>
      <c r="J52" s="3" t="s">
        <v>354</v>
      </c>
      <c r="K52" s="3" t="s">
        <v>355</v>
      </c>
      <c r="L52" s="3" t="s">
        <v>91</v>
      </c>
      <c r="M52" s="8">
        <f>8322.16*2</f>
        <v>16644.32</v>
      </c>
      <c r="N52" s="3" t="s">
        <v>218</v>
      </c>
      <c r="O52" s="5">
        <v>10456.040000000001</v>
      </c>
      <c r="P52" s="3" t="s">
        <v>218</v>
      </c>
      <c r="Q52" s="4">
        <v>52</v>
      </c>
      <c r="R52" s="4">
        <v>52</v>
      </c>
      <c r="S52" s="4">
        <v>52</v>
      </c>
      <c r="T52" s="4">
        <v>52</v>
      </c>
      <c r="U52" s="4">
        <v>52</v>
      </c>
      <c r="V52" s="4">
        <v>52</v>
      </c>
      <c r="W52" s="4">
        <v>52</v>
      </c>
      <c r="X52" s="4">
        <v>52</v>
      </c>
      <c r="Y52" s="4">
        <v>52</v>
      </c>
      <c r="Z52" s="4">
        <v>52</v>
      </c>
      <c r="AA52" s="4">
        <v>52</v>
      </c>
      <c r="AB52" s="4">
        <v>52</v>
      </c>
      <c r="AC52" s="4">
        <v>52</v>
      </c>
      <c r="AD52" s="3" t="s">
        <v>219</v>
      </c>
      <c r="AE52" s="6">
        <v>46203</v>
      </c>
      <c r="AF52" s="4" t="s">
        <v>390</v>
      </c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x14ac:dyDescent="0.25">
      <c r="A53" s="4">
        <v>2026</v>
      </c>
      <c r="B53" s="6">
        <v>46113</v>
      </c>
      <c r="C53" s="6">
        <v>46203</v>
      </c>
      <c r="D53" s="3" t="s">
        <v>84</v>
      </c>
      <c r="E53" s="3">
        <v>5</v>
      </c>
      <c r="F53" s="3" t="s">
        <v>230</v>
      </c>
      <c r="G53" s="3" t="str">
        <f t="shared" si="0"/>
        <v>AYUDANTE DE BRIGADA DE DRENAJE SANITARIO</v>
      </c>
      <c r="H53" s="3" t="s">
        <v>231</v>
      </c>
      <c r="I53" s="3" t="s">
        <v>356</v>
      </c>
      <c r="J53" s="3" t="s">
        <v>354</v>
      </c>
      <c r="K53" s="3" t="s">
        <v>357</v>
      </c>
      <c r="L53" s="3" t="s">
        <v>91</v>
      </c>
      <c r="M53" s="8">
        <f>2499.03*2</f>
        <v>4998.0600000000004</v>
      </c>
      <c r="N53" s="3" t="s">
        <v>218</v>
      </c>
      <c r="O53" s="5">
        <v>4419.3</v>
      </c>
      <c r="P53" s="3" t="s">
        <v>218</v>
      </c>
      <c r="Q53" s="4">
        <v>53</v>
      </c>
      <c r="R53" s="4">
        <v>53</v>
      </c>
      <c r="S53" s="4">
        <v>53</v>
      </c>
      <c r="T53" s="4">
        <v>53</v>
      </c>
      <c r="U53" s="4">
        <v>53</v>
      </c>
      <c r="V53" s="4">
        <v>53</v>
      </c>
      <c r="W53" s="4">
        <v>53</v>
      </c>
      <c r="X53" s="4">
        <v>53</v>
      </c>
      <c r="Y53" s="4">
        <v>53</v>
      </c>
      <c r="Z53" s="4">
        <v>53</v>
      </c>
      <c r="AA53" s="4">
        <v>53</v>
      </c>
      <c r="AB53" s="4">
        <v>53</v>
      </c>
      <c r="AC53" s="4">
        <v>53</v>
      </c>
      <c r="AD53" s="3" t="s">
        <v>219</v>
      </c>
      <c r="AE53" s="6">
        <v>46203</v>
      </c>
      <c r="AF53" s="4" t="s">
        <v>390</v>
      </c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x14ac:dyDescent="0.25">
      <c r="A54" s="4">
        <v>2026</v>
      </c>
      <c r="B54" s="6">
        <v>46113</v>
      </c>
      <c r="C54" s="6">
        <v>46203</v>
      </c>
      <c r="D54" s="3" t="s">
        <v>84</v>
      </c>
      <c r="E54" s="3">
        <v>5</v>
      </c>
      <c r="F54" s="3" t="s">
        <v>358</v>
      </c>
      <c r="G54" s="3" t="str">
        <f t="shared" si="0"/>
        <v>INTENDENTE</v>
      </c>
      <c r="H54" s="3" t="s">
        <v>214</v>
      </c>
      <c r="I54" s="3" t="s">
        <v>359</v>
      </c>
      <c r="J54" s="3" t="s">
        <v>253</v>
      </c>
      <c r="K54" s="3" t="s">
        <v>294</v>
      </c>
      <c r="L54" s="3" t="s">
        <v>92</v>
      </c>
      <c r="M54" s="8">
        <f>5668.69*2</f>
        <v>11337.38</v>
      </c>
      <c r="N54" s="3" t="s">
        <v>218</v>
      </c>
      <c r="O54" s="5">
        <v>6559.76</v>
      </c>
      <c r="P54" s="3" t="s">
        <v>218</v>
      </c>
      <c r="Q54" s="4">
        <v>54</v>
      </c>
      <c r="R54" s="4">
        <v>54</v>
      </c>
      <c r="S54" s="4">
        <v>54</v>
      </c>
      <c r="T54" s="4">
        <v>54</v>
      </c>
      <c r="U54" s="4">
        <v>54</v>
      </c>
      <c r="V54" s="4">
        <v>54</v>
      </c>
      <c r="W54" s="4">
        <v>54</v>
      </c>
      <c r="X54" s="4">
        <v>54</v>
      </c>
      <c r="Y54" s="4">
        <v>54</v>
      </c>
      <c r="Z54" s="4">
        <v>54</v>
      </c>
      <c r="AA54" s="4">
        <v>54</v>
      </c>
      <c r="AB54" s="4">
        <v>54</v>
      </c>
      <c r="AC54" s="4">
        <v>54</v>
      </c>
      <c r="AD54" s="3" t="s">
        <v>219</v>
      </c>
      <c r="AE54" s="6">
        <v>46203</v>
      </c>
      <c r="AF54" s="4" t="s">
        <v>390</v>
      </c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x14ac:dyDescent="0.25">
      <c r="A55" s="4">
        <v>2026</v>
      </c>
      <c r="B55" s="6">
        <v>46113</v>
      </c>
      <c r="C55" s="6">
        <v>46203</v>
      </c>
      <c r="D55" s="3" t="s">
        <v>84</v>
      </c>
      <c r="E55" s="3">
        <v>3</v>
      </c>
      <c r="F55" s="3" t="s">
        <v>360</v>
      </c>
      <c r="G55" s="3" t="str">
        <f t="shared" si="0"/>
        <v>ENCARGADA DE SISTEMAS RURALES</v>
      </c>
      <c r="H55" s="3" t="s">
        <v>221</v>
      </c>
      <c r="I55" s="3" t="s">
        <v>361</v>
      </c>
      <c r="J55" s="3" t="s">
        <v>362</v>
      </c>
      <c r="K55" s="3" t="s">
        <v>348</v>
      </c>
      <c r="L55" s="3" t="s">
        <v>92</v>
      </c>
      <c r="M55" s="8">
        <f>5558.56*2</f>
        <v>11117.12</v>
      </c>
      <c r="N55" s="3" t="s">
        <v>218</v>
      </c>
      <c r="O55" s="5">
        <v>9782.94</v>
      </c>
      <c r="P55" s="3" t="s">
        <v>218</v>
      </c>
      <c r="Q55" s="4">
        <v>55</v>
      </c>
      <c r="R55" s="4">
        <v>55</v>
      </c>
      <c r="S55" s="4">
        <v>55</v>
      </c>
      <c r="T55" s="4">
        <v>55</v>
      </c>
      <c r="U55" s="4">
        <v>55</v>
      </c>
      <c r="V55" s="4">
        <v>55</v>
      </c>
      <c r="W55" s="4">
        <v>55</v>
      </c>
      <c r="X55" s="4">
        <v>55</v>
      </c>
      <c r="Y55" s="4">
        <v>55</v>
      </c>
      <c r="Z55" s="4">
        <v>55</v>
      </c>
      <c r="AA55" s="4">
        <v>55</v>
      </c>
      <c r="AB55" s="4">
        <v>55</v>
      </c>
      <c r="AC55" s="4">
        <v>55</v>
      </c>
      <c r="AD55" s="3" t="s">
        <v>219</v>
      </c>
      <c r="AE55" s="6">
        <v>46203</v>
      </c>
      <c r="AF55" s="4" t="s">
        <v>390</v>
      </c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x14ac:dyDescent="0.25">
      <c r="A56" s="4">
        <v>2026</v>
      </c>
      <c r="B56" s="6">
        <v>46113</v>
      </c>
      <c r="C56" s="6">
        <v>46203</v>
      </c>
      <c r="D56" s="3" t="s">
        <v>84</v>
      </c>
      <c r="E56" s="3">
        <v>5</v>
      </c>
      <c r="F56" s="3" t="s">
        <v>363</v>
      </c>
      <c r="G56" s="3" t="str">
        <f t="shared" si="0"/>
        <v>OPERADOR DE EQUIPO DE BOMBEO</v>
      </c>
      <c r="H56" s="3" t="s">
        <v>231</v>
      </c>
      <c r="I56" s="3" t="s">
        <v>364</v>
      </c>
      <c r="J56" s="3" t="s">
        <v>362</v>
      </c>
      <c r="K56" s="3" t="s">
        <v>365</v>
      </c>
      <c r="L56" s="3" t="s">
        <v>91</v>
      </c>
      <c r="M56" s="8">
        <f>5558.56*2</f>
        <v>11117.12</v>
      </c>
      <c r="N56" s="3" t="s">
        <v>218</v>
      </c>
      <c r="O56" s="5">
        <v>7484.36</v>
      </c>
      <c r="P56" s="3" t="s">
        <v>218</v>
      </c>
      <c r="Q56" s="4">
        <v>56</v>
      </c>
      <c r="R56" s="4">
        <v>56</v>
      </c>
      <c r="S56" s="4">
        <v>56</v>
      </c>
      <c r="T56" s="4">
        <v>56</v>
      </c>
      <c r="U56" s="4">
        <v>56</v>
      </c>
      <c r="V56" s="4">
        <v>56</v>
      </c>
      <c r="W56" s="4">
        <v>56</v>
      </c>
      <c r="X56" s="4">
        <v>56</v>
      </c>
      <c r="Y56" s="4">
        <v>56</v>
      </c>
      <c r="Z56" s="4">
        <v>56</v>
      </c>
      <c r="AA56" s="4">
        <v>56</v>
      </c>
      <c r="AB56" s="4">
        <v>56</v>
      </c>
      <c r="AC56" s="4">
        <v>56</v>
      </c>
      <c r="AD56" s="3" t="s">
        <v>219</v>
      </c>
      <c r="AE56" s="6">
        <v>46203</v>
      </c>
      <c r="AF56" s="4" t="s">
        <v>390</v>
      </c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x14ac:dyDescent="0.25">
      <c r="A57" s="4">
        <v>2026</v>
      </c>
      <c r="B57" s="6">
        <v>46113</v>
      </c>
      <c r="C57" s="6">
        <v>46203</v>
      </c>
      <c r="D57" s="3" t="s">
        <v>84</v>
      </c>
      <c r="E57" s="3">
        <v>5</v>
      </c>
      <c r="F57" s="3" t="s">
        <v>295</v>
      </c>
      <c r="G57" s="3" t="str">
        <f t="shared" si="0"/>
        <v>PEON GENERAL</v>
      </c>
      <c r="H57" s="3" t="s">
        <v>231</v>
      </c>
      <c r="I57" s="3" t="s">
        <v>366</v>
      </c>
      <c r="J57" s="3" t="s">
        <v>245</v>
      </c>
      <c r="K57" s="3" t="s">
        <v>367</v>
      </c>
      <c r="L57" s="3" t="s">
        <v>91</v>
      </c>
      <c r="M57" s="8">
        <f>4177.45*2</f>
        <v>8354.9</v>
      </c>
      <c r="N57" s="3" t="s">
        <v>218</v>
      </c>
      <c r="O57" s="5">
        <v>8982.9</v>
      </c>
      <c r="P57" s="3" t="s">
        <v>218</v>
      </c>
      <c r="Q57" s="4">
        <v>57</v>
      </c>
      <c r="R57" s="4">
        <v>57</v>
      </c>
      <c r="S57" s="4">
        <v>57</v>
      </c>
      <c r="T57" s="4">
        <v>57</v>
      </c>
      <c r="U57" s="4">
        <v>57</v>
      </c>
      <c r="V57" s="4">
        <v>57</v>
      </c>
      <c r="W57" s="4">
        <v>57</v>
      </c>
      <c r="X57" s="4">
        <v>57</v>
      </c>
      <c r="Y57" s="4">
        <v>57</v>
      </c>
      <c r="Z57" s="4">
        <v>57</v>
      </c>
      <c r="AA57" s="4">
        <v>57</v>
      </c>
      <c r="AB57" s="4">
        <v>57</v>
      </c>
      <c r="AC57" s="4">
        <v>57</v>
      </c>
      <c r="AD57" s="3" t="s">
        <v>219</v>
      </c>
      <c r="AE57" s="6">
        <v>46203</v>
      </c>
      <c r="AF57" s="4" t="s">
        <v>390</v>
      </c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x14ac:dyDescent="0.25">
      <c r="A58" s="4">
        <v>2026</v>
      </c>
      <c r="B58" s="6">
        <v>46113</v>
      </c>
      <c r="C58" s="6">
        <v>46203</v>
      </c>
      <c r="D58" s="3" t="s">
        <v>84</v>
      </c>
      <c r="E58" s="3">
        <v>5</v>
      </c>
      <c r="F58" s="3" t="s">
        <v>295</v>
      </c>
      <c r="G58" s="3" t="str">
        <f t="shared" si="0"/>
        <v>PEON GENERAL</v>
      </c>
      <c r="H58" s="3" t="s">
        <v>231</v>
      </c>
      <c r="I58" s="3" t="s">
        <v>368</v>
      </c>
      <c r="J58" s="3" t="s">
        <v>369</v>
      </c>
      <c r="K58" s="3" t="s">
        <v>370</v>
      </c>
      <c r="L58" s="3" t="s">
        <v>91</v>
      </c>
      <c r="M58" s="8">
        <f>4522.35*2</f>
        <v>9044.7000000000007</v>
      </c>
      <c r="N58" s="3" t="s">
        <v>218</v>
      </c>
      <c r="O58" s="5">
        <v>7420.14</v>
      </c>
      <c r="P58" s="3" t="s">
        <v>218</v>
      </c>
      <c r="Q58" s="4">
        <v>58</v>
      </c>
      <c r="R58" s="4">
        <v>58</v>
      </c>
      <c r="S58" s="4">
        <v>58</v>
      </c>
      <c r="T58" s="4">
        <v>58</v>
      </c>
      <c r="U58" s="4">
        <v>58</v>
      </c>
      <c r="V58" s="4">
        <v>58</v>
      </c>
      <c r="W58" s="4">
        <v>58</v>
      </c>
      <c r="X58" s="4">
        <v>58</v>
      </c>
      <c r="Y58" s="4">
        <v>58</v>
      </c>
      <c r="Z58" s="4">
        <v>58</v>
      </c>
      <c r="AA58" s="4">
        <v>58</v>
      </c>
      <c r="AB58" s="4">
        <v>58</v>
      </c>
      <c r="AC58" s="4">
        <v>58</v>
      </c>
      <c r="AD58" s="3" t="s">
        <v>219</v>
      </c>
      <c r="AE58" s="6">
        <v>46203</v>
      </c>
      <c r="AF58" s="4" t="s">
        <v>390</v>
      </c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x14ac:dyDescent="0.25">
      <c r="A59" s="4">
        <v>2026</v>
      </c>
      <c r="B59" s="6">
        <v>46113</v>
      </c>
      <c r="C59" s="6">
        <v>46203</v>
      </c>
      <c r="D59" s="3" t="s">
        <v>84</v>
      </c>
      <c r="E59" s="3">
        <v>5</v>
      </c>
      <c r="F59" s="3" t="s">
        <v>371</v>
      </c>
      <c r="G59" s="3" t="str">
        <f t="shared" si="0"/>
        <v>AUXILIAR DE BRIGADA DE DRENAJE SANITARIO</v>
      </c>
      <c r="H59" s="3" t="s">
        <v>231</v>
      </c>
      <c r="I59" s="3" t="s">
        <v>372</v>
      </c>
      <c r="J59" s="3" t="s">
        <v>261</v>
      </c>
      <c r="K59" s="3" t="s">
        <v>253</v>
      </c>
      <c r="L59" s="3" t="s">
        <v>91</v>
      </c>
      <c r="M59" s="8">
        <f>3725.58*2</f>
        <v>7451.16</v>
      </c>
      <c r="N59" s="3" t="s">
        <v>218</v>
      </c>
      <c r="O59" s="5">
        <v>1700.14</v>
      </c>
      <c r="P59" s="3" t="s">
        <v>218</v>
      </c>
      <c r="Q59" s="4">
        <v>59</v>
      </c>
      <c r="R59" s="4">
        <v>59</v>
      </c>
      <c r="S59" s="4">
        <v>59</v>
      </c>
      <c r="T59" s="4">
        <v>59</v>
      </c>
      <c r="U59" s="4">
        <v>59</v>
      </c>
      <c r="V59" s="4">
        <v>59</v>
      </c>
      <c r="W59" s="4">
        <v>59</v>
      </c>
      <c r="X59" s="4">
        <v>59</v>
      </c>
      <c r="Y59" s="4">
        <v>59</v>
      </c>
      <c r="Z59" s="4">
        <v>59</v>
      </c>
      <c r="AA59" s="4">
        <v>59</v>
      </c>
      <c r="AB59" s="4">
        <v>59</v>
      </c>
      <c r="AC59" s="4">
        <v>59</v>
      </c>
      <c r="AD59" s="3" t="s">
        <v>219</v>
      </c>
      <c r="AE59" s="6">
        <v>46203</v>
      </c>
      <c r="AF59" s="4" t="s">
        <v>390</v>
      </c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x14ac:dyDescent="0.25">
      <c r="A60" s="4">
        <v>2026</v>
      </c>
      <c r="B60" s="6">
        <v>46113</v>
      </c>
      <c r="C60" s="6">
        <v>46203</v>
      </c>
      <c r="D60" s="3" t="s">
        <v>84</v>
      </c>
      <c r="E60" s="3">
        <v>3</v>
      </c>
      <c r="F60" s="3" t="s">
        <v>373</v>
      </c>
      <c r="G60" s="3" t="str">
        <f t="shared" si="0"/>
        <v>ENCARGADA DE PADRON DE USUARIOS</v>
      </c>
      <c r="H60" s="3" t="s">
        <v>221</v>
      </c>
      <c r="I60" s="3" t="s">
        <v>374</v>
      </c>
      <c r="J60" s="3" t="s">
        <v>261</v>
      </c>
      <c r="K60" s="3" t="s">
        <v>253</v>
      </c>
      <c r="L60" s="3" t="s">
        <v>92</v>
      </c>
      <c r="M60" s="8">
        <f>1321.02*2</f>
        <v>2642.04</v>
      </c>
      <c r="N60" s="3" t="s">
        <v>218</v>
      </c>
      <c r="O60" s="5">
        <v>10895.6</v>
      </c>
      <c r="P60" s="3" t="s">
        <v>218</v>
      </c>
      <c r="Q60" s="4">
        <v>60</v>
      </c>
      <c r="R60" s="4">
        <v>60</v>
      </c>
      <c r="S60" s="4">
        <v>60</v>
      </c>
      <c r="T60" s="4">
        <v>60</v>
      </c>
      <c r="U60" s="4">
        <v>60</v>
      </c>
      <c r="V60" s="4">
        <v>60</v>
      </c>
      <c r="W60" s="4">
        <v>60</v>
      </c>
      <c r="X60" s="4">
        <v>60</v>
      </c>
      <c r="Y60" s="4">
        <v>60</v>
      </c>
      <c r="Z60" s="4">
        <v>60</v>
      </c>
      <c r="AA60" s="4">
        <v>60</v>
      </c>
      <c r="AB60" s="4">
        <v>60</v>
      </c>
      <c r="AC60" s="4">
        <v>60</v>
      </c>
      <c r="AD60" s="3" t="s">
        <v>219</v>
      </c>
      <c r="AE60" s="6">
        <v>46203</v>
      </c>
      <c r="AF60" s="4" t="s">
        <v>390</v>
      </c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x14ac:dyDescent="0.25">
      <c r="A61" s="4">
        <v>2026</v>
      </c>
      <c r="B61" s="6">
        <v>46113</v>
      </c>
      <c r="C61" s="6">
        <v>46203</v>
      </c>
      <c r="D61" s="3" t="s">
        <v>84</v>
      </c>
      <c r="E61" s="3">
        <v>5</v>
      </c>
      <c r="F61" s="3" t="s">
        <v>250</v>
      </c>
      <c r="G61" s="3" t="str">
        <f t="shared" si="0"/>
        <v>AUXILIAR ADMINISTRATIVO</v>
      </c>
      <c r="H61" s="3" t="s">
        <v>221</v>
      </c>
      <c r="I61" s="3" t="s">
        <v>375</v>
      </c>
      <c r="J61" s="3" t="s">
        <v>340</v>
      </c>
      <c r="K61" s="3" t="s">
        <v>321</v>
      </c>
      <c r="L61" s="3" t="s">
        <v>92</v>
      </c>
      <c r="M61" s="8">
        <f>5962.48*2</f>
        <v>11924.96</v>
      </c>
      <c r="N61" s="3" t="s">
        <v>218</v>
      </c>
      <c r="O61" s="5">
        <v>7790</v>
      </c>
      <c r="P61" s="3" t="s">
        <v>218</v>
      </c>
      <c r="Q61" s="4">
        <v>61</v>
      </c>
      <c r="R61" s="4">
        <v>61</v>
      </c>
      <c r="S61" s="4">
        <v>61</v>
      </c>
      <c r="T61" s="4">
        <v>61</v>
      </c>
      <c r="U61" s="4">
        <v>61</v>
      </c>
      <c r="V61" s="4">
        <v>61</v>
      </c>
      <c r="W61" s="4">
        <v>61</v>
      </c>
      <c r="X61" s="4">
        <v>61</v>
      </c>
      <c r="Y61" s="4">
        <v>61</v>
      </c>
      <c r="Z61" s="4">
        <v>61</v>
      </c>
      <c r="AA61" s="4">
        <v>61</v>
      </c>
      <c r="AB61" s="4">
        <v>61</v>
      </c>
      <c r="AC61" s="4">
        <v>61</v>
      </c>
      <c r="AD61" s="3" t="s">
        <v>219</v>
      </c>
      <c r="AE61" s="6">
        <v>46203</v>
      </c>
      <c r="AF61" s="4" t="s">
        <v>390</v>
      </c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x14ac:dyDescent="0.25">
      <c r="A62" s="4">
        <v>2026</v>
      </c>
      <c r="B62" s="6">
        <v>46113</v>
      </c>
      <c r="C62" s="6">
        <v>46203</v>
      </c>
      <c r="D62" s="3" t="s">
        <v>84</v>
      </c>
      <c r="E62" s="3">
        <v>5</v>
      </c>
      <c r="F62" s="3" t="s">
        <v>220</v>
      </c>
      <c r="G62" s="3" t="str">
        <f t="shared" si="0"/>
        <v>AUXILIAR OPERATIVO DEL AREA COMERCIAL</v>
      </c>
      <c r="H62" s="3" t="s">
        <v>214</v>
      </c>
      <c r="I62" s="3" t="s">
        <v>376</v>
      </c>
      <c r="J62" s="3" t="s">
        <v>377</v>
      </c>
      <c r="K62" s="3" t="s">
        <v>340</v>
      </c>
      <c r="L62" s="3" t="s">
        <v>92</v>
      </c>
      <c r="M62" s="8">
        <f>4514.37*2</f>
        <v>9028.74</v>
      </c>
      <c r="N62" s="3" t="s">
        <v>218</v>
      </c>
      <c r="O62" s="5">
        <v>8807.7199999999993</v>
      </c>
      <c r="P62" s="3" t="s">
        <v>218</v>
      </c>
      <c r="Q62" s="4">
        <v>62</v>
      </c>
      <c r="R62" s="4">
        <v>62</v>
      </c>
      <c r="S62" s="4">
        <v>62</v>
      </c>
      <c r="T62" s="4">
        <v>62</v>
      </c>
      <c r="U62" s="4">
        <v>62</v>
      </c>
      <c r="V62" s="4">
        <v>62</v>
      </c>
      <c r="W62" s="4">
        <v>62</v>
      </c>
      <c r="X62" s="4">
        <v>62</v>
      </c>
      <c r="Y62" s="4">
        <v>62</v>
      </c>
      <c r="Z62" s="4">
        <v>62</v>
      </c>
      <c r="AA62" s="4">
        <v>62</v>
      </c>
      <c r="AB62" s="4">
        <v>62</v>
      </c>
      <c r="AC62" s="4">
        <v>62</v>
      </c>
      <c r="AD62" s="3" t="s">
        <v>219</v>
      </c>
      <c r="AE62" s="6">
        <v>46203</v>
      </c>
      <c r="AF62" s="4" t="s">
        <v>390</v>
      </c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x14ac:dyDescent="0.25">
      <c r="A63" s="4">
        <v>2026</v>
      </c>
      <c r="B63" s="6">
        <v>46113</v>
      </c>
      <c r="C63" s="6">
        <v>46203</v>
      </c>
      <c r="D63" s="3" t="s">
        <v>84</v>
      </c>
      <c r="E63" s="3">
        <v>5</v>
      </c>
      <c r="F63" s="3" t="s">
        <v>371</v>
      </c>
      <c r="G63" s="3" t="str">
        <f t="shared" si="0"/>
        <v>AUXILIAR DE BRIGADA DE DRENAJE SANITARIO</v>
      </c>
      <c r="H63" s="3" t="s">
        <v>231</v>
      </c>
      <c r="I63" s="3" t="s">
        <v>378</v>
      </c>
      <c r="J63" s="3" t="s">
        <v>379</v>
      </c>
      <c r="K63" s="3" t="s">
        <v>380</v>
      </c>
      <c r="L63" s="3" t="s">
        <v>91</v>
      </c>
      <c r="M63" s="8">
        <f>5735.41*2</f>
        <v>11470.82</v>
      </c>
      <c r="N63" s="3" t="s">
        <v>218</v>
      </c>
      <c r="O63" s="5">
        <v>10402.120000000001</v>
      </c>
      <c r="P63" s="3" t="s">
        <v>218</v>
      </c>
      <c r="Q63" s="4">
        <v>63</v>
      </c>
      <c r="R63" s="4">
        <v>63</v>
      </c>
      <c r="S63" s="4">
        <v>63</v>
      </c>
      <c r="T63" s="4">
        <v>63</v>
      </c>
      <c r="U63" s="4">
        <v>63</v>
      </c>
      <c r="V63" s="4">
        <v>63</v>
      </c>
      <c r="W63" s="4">
        <v>63</v>
      </c>
      <c r="X63" s="4">
        <v>63</v>
      </c>
      <c r="Y63" s="4">
        <v>63</v>
      </c>
      <c r="Z63" s="4">
        <v>63</v>
      </c>
      <c r="AA63" s="4">
        <v>63</v>
      </c>
      <c r="AB63" s="4">
        <v>63</v>
      </c>
      <c r="AC63" s="4">
        <v>63</v>
      </c>
      <c r="AD63" s="3" t="s">
        <v>219</v>
      </c>
      <c r="AE63" s="6">
        <v>46203</v>
      </c>
      <c r="AF63" s="4" t="s">
        <v>390</v>
      </c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x14ac:dyDescent="0.25">
      <c r="A64" s="4">
        <v>2026</v>
      </c>
      <c r="B64" s="6">
        <v>46113</v>
      </c>
      <c r="C64" s="6">
        <v>46203</v>
      </c>
      <c r="D64" s="3" t="s">
        <v>84</v>
      </c>
      <c r="E64" s="3">
        <v>5</v>
      </c>
      <c r="F64" s="3" t="s">
        <v>381</v>
      </c>
      <c r="G64" s="3" t="str">
        <f t="shared" si="0"/>
        <v>OPERADOR DE EQUIPO DE DESAZOLVE</v>
      </c>
      <c r="H64" s="3" t="s">
        <v>231</v>
      </c>
      <c r="I64" s="3" t="s">
        <v>356</v>
      </c>
      <c r="J64" s="3" t="s">
        <v>379</v>
      </c>
      <c r="K64" s="3" t="s">
        <v>382</v>
      </c>
      <c r="L64" s="3" t="s">
        <v>91</v>
      </c>
      <c r="M64" s="8">
        <f>3452.18*2</f>
        <v>6904.36</v>
      </c>
      <c r="N64" s="3" t="s">
        <v>218</v>
      </c>
      <c r="O64" s="5">
        <v>6261.26</v>
      </c>
      <c r="P64" s="3" t="s">
        <v>218</v>
      </c>
      <c r="Q64" s="4">
        <v>64</v>
      </c>
      <c r="R64" s="4">
        <v>64</v>
      </c>
      <c r="S64" s="4">
        <v>64</v>
      </c>
      <c r="T64" s="4">
        <v>64</v>
      </c>
      <c r="U64" s="4">
        <v>64</v>
      </c>
      <c r="V64" s="4">
        <v>64</v>
      </c>
      <c r="W64" s="4">
        <v>64</v>
      </c>
      <c r="X64" s="4">
        <v>64</v>
      </c>
      <c r="Y64" s="4">
        <v>64</v>
      </c>
      <c r="Z64" s="4">
        <v>64</v>
      </c>
      <c r="AA64" s="4">
        <v>64</v>
      </c>
      <c r="AB64" s="4">
        <v>64</v>
      </c>
      <c r="AC64" s="4">
        <v>64</v>
      </c>
      <c r="AD64" s="3" t="s">
        <v>219</v>
      </c>
      <c r="AE64" s="6">
        <v>46203</v>
      </c>
      <c r="AF64" s="4" t="s">
        <v>390</v>
      </c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x14ac:dyDescent="0.25">
      <c r="A65" s="4">
        <v>2026</v>
      </c>
      <c r="B65" s="6">
        <v>46113</v>
      </c>
      <c r="C65" s="6">
        <v>46203</v>
      </c>
      <c r="D65" s="3" t="s">
        <v>88</v>
      </c>
      <c r="E65" s="3">
        <v>2</v>
      </c>
      <c r="F65" s="3" t="s">
        <v>387</v>
      </c>
      <c r="G65" s="3" t="str">
        <f t="shared" si="0"/>
        <v>SUBDIRECTOR ADMINISTRATIVO</v>
      </c>
      <c r="H65" s="3" t="s">
        <v>214</v>
      </c>
      <c r="I65" s="3" t="s">
        <v>262</v>
      </c>
      <c r="J65" s="3" t="s">
        <v>388</v>
      </c>
      <c r="K65" s="3" t="s">
        <v>389</v>
      </c>
      <c r="L65" s="3" t="s">
        <v>91</v>
      </c>
      <c r="M65" s="8">
        <f>13373.85*2</f>
        <v>26747.7</v>
      </c>
      <c r="N65" s="3" t="s">
        <v>218</v>
      </c>
      <c r="O65" s="5">
        <v>25154.84</v>
      </c>
      <c r="P65" s="3" t="s">
        <v>218</v>
      </c>
      <c r="Q65" s="4">
        <v>65</v>
      </c>
      <c r="R65" s="4">
        <v>65</v>
      </c>
      <c r="S65" s="4">
        <v>65</v>
      </c>
      <c r="T65" s="4">
        <v>65</v>
      </c>
      <c r="U65" s="4">
        <v>65</v>
      </c>
      <c r="V65" s="4">
        <v>65</v>
      </c>
      <c r="W65" s="4">
        <v>65</v>
      </c>
      <c r="X65" s="4">
        <v>65</v>
      </c>
      <c r="Y65" s="4">
        <v>65</v>
      </c>
      <c r="Z65" s="4">
        <v>65</v>
      </c>
      <c r="AA65" s="4">
        <v>65</v>
      </c>
      <c r="AB65" s="4">
        <v>65</v>
      </c>
      <c r="AC65" s="4">
        <v>65</v>
      </c>
      <c r="AD65" s="3" t="s">
        <v>219</v>
      </c>
      <c r="AE65" s="6">
        <v>46203</v>
      </c>
      <c r="AF65" s="4" t="s">
        <v>390</v>
      </c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x14ac:dyDescent="0.25">
      <c r="A66" s="4">
        <v>2026</v>
      </c>
      <c r="B66" s="6">
        <v>46114</v>
      </c>
      <c r="C66" s="6">
        <v>46203</v>
      </c>
      <c r="D66" t="s">
        <v>84</v>
      </c>
      <c r="E66">
        <v>5</v>
      </c>
      <c r="F66" t="s">
        <v>391</v>
      </c>
      <c r="G66" t="str">
        <f t="shared" si="0"/>
        <v>CABO DE LIMPIA</v>
      </c>
      <c r="H66" t="s">
        <v>231</v>
      </c>
      <c r="I66" t="s">
        <v>356</v>
      </c>
      <c r="J66" t="s">
        <v>255</v>
      </c>
      <c r="K66" t="s">
        <v>258</v>
      </c>
      <c r="L66" t="s">
        <v>91</v>
      </c>
      <c r="M66" s="8">
        <f>4830.16*2</f>
        <v>9660.32</v>
      </c>
      <c r="N66" s="4" t="s">
        <v>218</v>
      </c>
      <c r="O66" s="8">
        <f>4842.15*2</f>
        <v>9684.2999999999993</v>
      </c>
      <c r="P66" s="4" t="s">
        <v>218</v>
      </c>
      <c r="Q66" s="4">
        <v>66</v>
      </c>
      <c r="R66">
        <v>66</v>
      </c>
      <c r="S66">
        <v>66</v>
      </c>
      <c r="T66">
        <v>66</v>
      </c>
      <c r="U66">
        <v>66</v>
      </c>
      <c r="V66">
        <v>66</v>
      </c>
      <c r="W66">
        <v>66</v>
      </c>
      <c r="X66">
        <v>66</v>
      </c>
      <c r="Y66">
        <v>66</v>
      </c>
      <c r="Z66">
        <v>66</v>
      </c>
      <c r="AA66">
        <v>66</v>
      </c>
      <c r="AB66">
        <v>66</v>
      </c>
      <c r="AC66">
        <v>66</v>
      </c>
      <c r="AD66" s="4" t="s">
        <v>219</v>
      </c>
      <c r="AE66" s="6">
        <v>46203</v>
      </c>
      <c r="AF66" s="4" t="s">
        <v>390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1:F62"/>
  <sheetViews>
    <sheetView topLeftCell="A33" workbookViewId="0">
      <selection activeCell="C62" sqref="C62:D6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4">
        <v>8</v>
      </c>
      <c r="B4" t="s">
        <v>392</v>
      </c>
      <c r="C4" s="8">
        <f>1100+2199.48</f>
        <v>3299.48</v>
      </c>
      <c r="D4" s="8">
        <f>1100+2199.48</f>
        <v>3299.48</v>
      </c>
      <c r="E4" s="4" t="s">
        <v>218</v>
      </c>
      <c r="F4" s="7" t="s">
        <v>385</v>
      </c>
    </row>
    <row r="5" spans="1:6" x14ac:dyDescent="0.25">
      <c r="A5" s="4">
        <v>9</v>
      </c>
      <c r="B5" s="4" t="s">
        <v>392</v>
      </c>
      <c r="C5" s="8">
        <v>1100</v>
      </c>
      <c r="D5" s="8">
        <v>1100</v>
      </c>
      <c r="E5" s="4" t="s">
        <v>218</v>
      </c>
      <c r="F5" s="7" t="s">
        <v>385</v>
      </c>
    </row>
    <row r="6" spans="1:6" x14ac:dyDescent="0.25">
      <c r="A6" s="4">
        <v>10</v>
      </c>
      <c r="B6" s="4" t="s">
        <v>392</v>
      </c>
      <c r="C6" s="8">
        <v>1100</v>
      </c>
      <c r="D6" s="8">
        <v>1100</v>
      </c>
      <c r="E6" s="4" t="s">
        <v>218</v>
      </c>
      <c r="F6" s="7" t="s">
        <v>385</v>
      </c>
    </row>
    <row r="7" spans="1:6" x14ac:dyDescent="0.25">
      <c r="A7" s="4">
        <v>11</v>
      </c>
      <c r="B7" s="4" t="s">
        <v>392</v>
      </c>
      <c r="C7" s="8">
        <f>1100+437.02</f>
        <v>1537.02</v>
      </c>
      <c r="D7" s="8">
        <f>1100+437.02</f>
        <v>1537.02</v>
      </c>
      <c r="E7" s="4" t="s">
        <v>218</v>
      </c>
      <c r="F7" s="7" t="s">
        <v>385</v>
      </c>
    </row>
    <row r="8" spans="1:6" x14ac:dyDescent="0.25">
      <c r="A8" s="4">
        <v>12</v>
      </c>
      <c r="B8" s="4" t="s">
        <v>392</v>
      </c>
      <c r="C8" s="8">
        <f>1100+1840.72</f>
        <v>2940.7200000000003</v>
      </c>
      <c r="D8" s="8">
        <f>1100+1840.72</f>
        <v>2940.7200000000003</v>
      </c>
      <c r="E8" s="4" t="s">
        <v>218</v>
      </c>
      <c r="F8" s="7" t="s">
        <v>385</v>
      </c>
    </row>
    <row r="9" spans="1:6" x14ac:dyDescent="0.25">
      <c r="A9" s="4">
        <v>13</v>
      </c>
      <c r="B9" s="4" t="s">
        <v>392</v>
      </c>
      <c r="C9" s="8">
        <f>1100+1557.92</f>
        <v>2657.92</v>
      </c>
      <c r="D9" s="8">
        <f>1100+1557.92</f>
        <v>2657.92</v>
      </c>
      <c r="E9" s="4" t="s">
        <v>218</v>
      </c>
      <c r="F9" s="7" t="s">
        <v>385</v>
      </c>
    </row>
    <row r="10" spans="1:6" x14ac:dyDescent="0.25">
      <c r="A10" s="4">
        <v>14</v>
      </c>
      <c r="B10" s="4" t="s">
        <v>392</v>
      </c>
      <c r="C10" s="8">
        <f>1100+5390.77</f>
        <v>6490.77</v>
      </c>
      <c r="D10" s="8">
        <f>1100+5390.77</f>
        <v>6490.77</v>
      </c>
      <c r="E10" s="4" t="s">
        <v>218</v>
      </c>
      <c r="F10" s="7" t="s">
        <v>385</v>
      </c>
    </row>
    <row r="11" spans="1:6" x14ac:dyDescent="0.25">
      <c r="A11" s="4">
        <v>15</v>
      </c>
      <c r="B11" s="4" t="s">
        <v>392</v>
      </c>
      <c r="C11" s="8">
        <f>1100+1620.71</f>
        <v>2720.71</v>
      </c>
      <c r="D11" s="8">
        <f>1100+1620.71</f>
        <v>2720.71</v>
      </c>
      <c r="E11" s="4" t="s">
        <v>218</v>
      </c>
      <c r="F11" s="7" t="s">
        <v>385</v>
      </c>
    </row>
    <row r="12" spans="1:6" x14ac:dyDescent="0.25">
      <c r="A12" s="4">
        <v>16</v>
      </c>
      <c r="B12" s="4" t="s">
        <v>392</v>
      </c>
      <c r="C12" s="8">
        <f>1100+1400.88</f>
        <v>2500.88</v>
      </c>
      <c r="D12" s="8">
        <f>1100+1400.88</f>
        <v>2500.88</v>
      </c>
      <c r="E12" s="4" t="s">
        <v>218</v>
      </c>
      <c r="F12" s="7" t="s">
        <v>385</v>
      </c>
    </row>
    <row r="13" spans="1:6" x14ac:dyDescent="0.25">
      <c r="A13" s="4">
        <v>17</v>
      </c>
      <c r="B13" s="4" t="s">
        <v>392</v>
      </c>
      <c r="C13" s="8">
        <f>1100+222.54</f>
        <v>1322.54</v>
      </c>
      <c r="D13" s="8">
        <f>1100+222.54</f>
        <v>1322.54</v>
      </c>
      <c r="E13" s="4" t="s">
        <v>218</v>
      </c>
      <c r="F13" s="7" t="s">
        <v>385</v>
      </c>
    </row>
    <row r="14" spans="1:6" x14ac:dyDescent="0.25">
      <c r="A14" s="4">
        <v>18</v>
      </c>
      <c r="B14" s="4" t="s">
        <v>392</v>
      </c>
      <c r="C14" s="8">
        <f>1100+1167.45</f>
        <v>2267.4499999999998</v>
      </c>
      <c r="D14" s="8">
        <f>1100+1167.45</f>
        <v>2267.4499999999998</v>
      </c>
      <c r="E14" s="4" t="s">
        <v>218</v>
      </c>
      <c r="F14" s="7" t="s">
        <v>385</v>
      </c>
    </row>
    <row r="15" spans="1:6" x14ac:dyDescent="0.25">
      <c r="A15" s="4">
        <v>19</v>
      </c>
      <c r="B15" s="4" t="s">
        <v>392</v>
      </c>
      <c r="C15" s="8">
        <f>1100+1167.4</f>
        <v>2267.4</v>
      </c>
      <c r="D15" s="8">
        <f>1100+1167.4</f>
        <v>2267.4</v>
      </c>
      <c r="E15" s="4" t="s">
        <v>218</v>
      </c>
      <c r="F15" s="7" t="s">
        <v>385</v>
      </c>
    </row>
    <row r="16" spans="1:6" x14ac:dyDescent="0.25">
      <c r="A16" s="4">
        <v>20</v>
      </c>
      <c r="B16" s="4" t="s">
        <v>392</v>
      </c>
      <c r="C16" s="8">
        <v>1100</v>
      </c>
      <c r="D16" s="8">
        <v>1100</v>
      </c>
      <c r="E16" s="4" t="s">
        <v>218</v>
      </c>
      <c r="F16" s="7" t="s">
        <v>385</v>
      </c>
    </row>
    <row r="17" spans="1:6" x14ac:dyDescent="0.25">
      <c r="A17" s="4">
        <v>21</v>
      </c>
      <c r="B17" s="4" t="s">
        <v>392</v>
      </c>
      <c r="C17" s="8">
        <f>1100+1634.36</f>
        <v>2734.3599999999997</v>
      </c>
      <c r="D17" s="8">
        <f>1100+1634.36</f>
        <v>2734.3599999999997</v>
      </c>
      <c r="E17" s="4" t="s">
        <v>218</v>
      </c>
      <c r="F17" s="7" t="s">
        <v>385</v>
      </c>
    </row>
    <row r="18" spans="1:6" x14ac:dyDescent="0.25">
      <c r="A18" s="4">
        <v>22</v>
      </c>
      <c r="B18" s="4" t="s">
        <v>392</v>
      </c>
      <c r="C18" s="8">
        <f>2012.28</f>
        <v>2012.28</v>
      </c>
      <c r="D18" s="8">
        <f>2012.28</f>
        <v>2012.28</v>
      </c>
      <c r="E18" s="4" t="s">
        <v>218</v>
      </c>
      <c r="F18" s="7" t="s">
        <v>385</v>
      </c>
    </row>
    <row r="19" spans="1:6" x14ac:dyDescent="0.25">
      <c r="A19" s="4">
        <v>23</v>
      </c>
      <c r="B19" s="4" t="s">
        <v>392</v>
      </c>
      <c r="C19" s="8">
        <f>1100+898.84</f>
        <v>1998.8400000000001</v>
      </c>
      <c r="D19" s="8">
        <f>1100+898.84</f>
        <v>1998.8400000000001</v>
      </c>
      <c r="E19" s="4" t="s">
        <v>218</v>
      </c>
      <c r="F19" s="7" t="s">
        <v>385</v>
      </c>
    </row>
    <row r="20" spans="1:6" x14ac:dyDescent="0.25">
      <c r="A20" s="4">
        <v>24</v>
      </c>
      <c r="B20" s="4" t="s">
        <v>392</v>
      </c>
      <c r="C20" s="8">
        <f>1100+1557.78</f>
        <v>2657.7799999999997</v>
      </c>
      <c r="D20" s="8">
        <f>1100+1557.78</f>
        <v>2657.7799999999997</v>
      </c>
      <c r="E20" s="4" t="s">
        <v>218</v>
      </c>
      <c r="F20" s="7" t="s">
        <v>385</v>
      </c>
    </row>
    <row r="21" spans="1:6" x14ac:dyDescent="0.25">
      <c r="A21" s="4">
        <v>25</v>
      </c>
      <c r="B21" s="4" t="s">
        <v>392</v>
      </c>
      <c r="C21" s="8">
        <v>351.02</v>
      </c>
      <c r="D21" s="8">
        <v>351.02</v>
      </c>
      <c r="E21" s="4" t="s">
        <v>218</v>
      </c>
      <c r="F21" s="7" t="s">
        <v>385</v>
      </c>
    </row>
    <row r="22" spans="1:6" x14ac:dyDescent="0.25">
      <c r="A22" s="4">
        <v>26</v>
      </c>
      <c r="B22" s="4" t="s">
        <v>392</v>
      </c>
      <c r="C22" s="8">
        <f>1100+2090.8</f>
        <v>3190.8</v>
      </c>
      <c r="D22" s="8">
        <f>1100+2090.8</f>
        <v>3190.8</v>
      </c>
      <c r="E22" s="4" t="s">
        <v>218</v>
      </c>
      <c r="F22" s="7" t="s">
        <v>385</v>
      </c>
    </row>
    <row r="23" spans="1:6" x14ac:dyDescent="0.25">
      <c r="A23" s="4">
        <v>27</v>
      </c>
      <c r="B23" s="4" t="s">
        <v>392</v>
      </c>
      <c r="C23" s="8">
        <v>1100</v>
      </c>
      <c r="D23" s="8">
        <v>1100</v>
      </c>
      <c r="E23" s="4" t="s">
        <v>218</v>
      </c>
      <c r="F23" s="7" t="s">
        <v>385</v>
      </c>
    </row>
    <row r="24" spans="1:6" x14ac:dyDescent="0.25">
      <c r="A24" s="4">
        <v>28</v>
      </c>
      <c r="B24" s="4" t="s">
        <v>392</v>
      </c>
      <c r="C24" s="8">
        <v>700.47</v>
      </c>
      <c r="D24" s="8">
        <v>700.47</v>
      </c>
      <c r="E24" s="4" t="s">
        <v>218</v>
      </c>
      <c r="F24" s="7" t="s">
        <v>385</v>
      </c>
    </row>
    <row r="25" spans="1:6" x14ac:dyDescent="0.25">
      <c r="A25" s="4">
        <v>29</v>
      </c>
      <c r="B25" s="4" t="s">
        <v>392</v>
      </c>
      <c r="C25" s="8">
        <f>1100+667.62</f>
        <v>1767.62</v>
      </c>
      <c r="D25" s="8">
        <f>1100+667.62</f>
        <v>1767.62</v>
      </c>
      <c r="E25" s="4" t="s">
        <v>218</v>
      </c>
      <c r="F25" s="7" t="s">
        <v>385</v>
      </c>
    </row>
    <row r="26" spans="1:6" x14ac:dyDescent="0.25">
      <c r="A26" s="4">
        <v>30</v>
      </c>
      <c r="B26" s="4" t="s">
        <v>392</v>
      </c>
      <c r="C26" s="8">
        <f>1100+2057.3</f>
        <v>3157.3</v>
      </c>
      <c r="D26" s="8">
        <f>1100+2057.3</f>
        <v>3157.3</v>
      </c>
      <c r="E26" s="4" t="s">
        <v>218</v>
      </c>
      <c r="F26" s="7" t="s">
        <v>385</v>
      </c>
    </row>
    <row r="27" spans="1:6" x14ac:dyDescent="0.25">
      <c r="A27" s="4">
        <v>31</v>
      </c>
      <c r="B27" s="4" t="s">
        <v>392</v>
      </c>
      <c r="C27" s="12">
        <v>0</v>
      </c>
      <c r="D27" s="12">
        <v>0</v>
      </c>
      <c r="E27" s="4" t="s">
        <v>218</v>
      </c>
      <c r="F27" s="7" t="s">
        <v>385</v>
      </c>
    </row>
    <row r="28" spans="1:6" x14ac:dyDescent="0.25">
      <c r="A28" s="4">
        <v>32</v>
      </c>
      <c r="B28" s="4" t="s">
        <v>392</v>
      </c>
      <c r="C28" s="8">
        <v>1100</v>
      </c>
      <c r="D28" s="8">
        <v>1100</v>
      </c>
      <c r="E28" s="4" t="s">
        <v>218</v>
      </c>
      <c r="F28" s="7" t="s">
        <v>385</v>
      </c>
    </row>
    <row r="29" spans="1:6" x14ac:dyDescent="0.25">
      <c r="A29" s="4">
        <v>33</v>
      </c>
      <c r="B29" s="4" t="s">
        <v>392</v>
      </c>
      <c r="C29" s="8">
        <v>1100</v>
      </c>
      <c r="D29" s="8">
        <v>1100</v>
      </c>
      <c r="E29" s="4" t="s">
        <v>218</v>
      </c>
      <c r="F29" s="7" t="s">
        <v>385</v>
      </c>
    </row>
    <row r="30" spans="1:6" x14ac:dyDescent="0.25">
      <c r="A30" s="4">
        <v>34</v>
      </c>
      <c r="B30" s="4" t="s">
        <v>392</v>
      </c>
      <c r="C30" s="8">
        <v>1100</v>
      </c>
      <c r="D30" s="8">
        <v>1100</v>
      </c>
      <c r="E30" s="4" t="s">
        <v>218</v>
      </c>
      <c r="F30" s="7" t="s">
        <v>385</v>
      </c>
    </row>
    <row r="31" spans="1:6" x14ac:dyDescent="0.25">
      <c r="A31" s="4">
        <v>35</v>
      </c>
      <c r="B31" s="4" t="s">
        <v>392</v>
      </c>
      <c r="C31" s="8">
        <v>1100</v>
      </c>
      <c r="D31" s="8">
        <v>1100</v>
      </c>
      <c r="E31" s="4" t="s">
        <v>218</v>
      </c>
      <c r="F31" s="7" t="s">
        <v>385</v>
      </c>
    </row>
    <row r="32" spans="1:6" x14ac:dyDescent="0.25">
      <c r="A32" s="4">
        <v>36</v>
      </c>
      <c r="B32" s="4" t="s">
        <v>392</v>
      </c>
      <c r="C32" s="8">
        <f>1100+4501.14</f>
        <v>5601.14</v>
      </c>
      <c r="D32" s="8">
        <f>1100+4501.14</f>
        <v>5601.14</v>
      </c>
      <c r="E32" s="4" t="s">
        <v>218</v>
      </c>
      <c r="F32" s="7" t="s">
        <v>385</v>
      </c>
    </row>
    <row r="33" spans="1:6" x14ac:dyDescent="0.25">
      <c r="A33" s="4">
        <v>37</v>
      </c>
      <c r="B33" s="4" t="s">
        <v>392</v>
      </c>
      <c r="C33" s="8">
        <v>1100</v>
      </c>
      <c r="D33" s="8">
        <v>1100</v>
      </c>
      <c r="E33" s="4" t="s">
        <v>218</v>
      </c>
      <c r="F33" s="7" t="s">
        <v>385</v>
      </c>
    </row>
    <row r="34" spans="1:6" x14ac:dyDescent="0.25">
      <c r="A34" s="4">
        <v>38</v>
      </c>
      <c r="B34" s="4" t="s">
        <v>392</v>
      </c>
      <c r="C34" s="8">
        <f>1100+1516.77</f>
        <v>2616.77</v>
      </c>
      <c r="D34" s="8">
        <f>1100+1516.77</f>
        <v>2616.77</v>
      </c>
      <c r="E34" s="4" t="s">
        <v>218</v>
      </c>
      <c r="F34" s="7" t="s">
        <v>385</v>
      </c>
    </row>
    <row r="35" spans="1:6" x14ac:dyDescent="0.25">
      <c r="A35" s="4">
        <v>39</v>
      </c>
      <c r="B35" s="4" t="s">
        <v>392</v>
      </c>
      <c r="C35" s="8">
        <v>1100</v>
      </c>
      <c r="D35" s="8">
        <v>1100</v>
      </c>
      <c r="E35" s="4" t="s">
        <v>218</v>
      </c>
      <c r="F35" s="7" t="s">
        <v>385</v>
      </c>
    </row>
    <row r="36" spans="1:6" x14ac:dyDescent="0.25">
      <c r="A36" s="4">
        <v>40</v>
      </c>
      <c r="B36" s="4" t="s">
        <v>392</v>
      </c>
      <c r="C36" s="8">
        <v>1100</v>
      </c>
      <c r="D36" s="8">
        <v>1100</v>
      </c>
      <c r="E36" s="4" t="s">
        <v>218</v>
      </c>
      <c r="F36" s="7" t="s">
        <v>385</v>
      </c>
    </row>
    <row r="37" spans="1:6" x14ac:dyDescent="0.25">
      <c r="A37" s="4">
        <v>41</v>
      </c>
      <c r="B37" s="4" t="s">
        <v>392</v>
      </c>
      <c r="C37" s="8">
        <f>1100+3658.9</f>
        <v>4758.8999999999996</v>
      </c>
      <c r="D37" s="8">
        <f>1100+3658.9</f>
        <v>4758.8999999999996</v>
      </c>
      <c r="E37" s="4" t="s">
        <v>218</v>
      </c>
      <c r="F37" s="7" t="s">
        <v>385</v>
      </c>
    </row>
    <row r="38" spans="1:6" x14ac:dyDescent="0.25">
      <c r="A38" s="4">
        <v>42</v>
      </c>
      <c r="B38" s="4" t="s">
        <v>392</v>
      </c>
      <c r="C38" s="8">
        <f>1100+700.41</f>
        <v>1800.4099999999999</v>
      </c>
      <c r="D38" s="8">
        <f>1100+700.41</f>
        <v>1800.4099999999999</v>
      </c>
      <c r="E38" s="4" t="s">
        <v>218</v>
      </c>
      <c r="F38" s="7" t="s">
        <v>385</v>
      </c>
    </row>
    <row r="39" spans="1:6" x14ac:dyDescent="0.25">
      <c r="A39" s="4">
        <v>43</v>
      </c>
      <c r="B39" s="4" t="s">
        <v>392</v>
      </c>
      <c r="C39" s="8">
        <f>1100+322.86</f>
        <v>1422.8600000000001</v>
      </c>
      <c r="D39" s="8">
        <f>1100+322.86</f>
        <v>1422.8600000000001</v>
      </c>
      <c r="E39" s="4" t="s">
        <v>218</v>
      </c>
      <c r="F39" s="7" t="s">
        <v>385</v>
      </c>
    </row>
    <row r="40" spans="1:6" x14ac:dyDescent="0.25">
      <c r="A40" s="4">
        <v>44</v>
      </c>
      <c r="B40" s="4" t="s">
        <v>392</v>
      </c>
      <c r="C40" s="8">
        <v>933.92</v>
      </c>
      <c r="D40" s="8">
        <v>933.92</v>
      </c>
      <c r="E40" s="4" t="s">
        <v>218</v>
      </c>
      <c r="F40" s="7" t="s">
        <v>385</v>
      </c>
    </row>
    <row r="41" spans="1:6" x14ac:dyDescent="0.25">
      <c r="A41" s="4">
        <v>45</v>
      </c>
      <c r="B41" s="4" t="s">
        <v>392</v>
      </c>
      <c r="C41" s="8">
        <v>161.99</v>
      </c>
      <c r="D41" s="8">
        <v>161.99</v>
      </c>
      <c r="E41" s="4" t="s">
        <v>218</v>
      </c>
      <c r="F41" s="7" t="s">
        <v>385</v>
      </c>
    </row>
    <row r="42" spans="1:6" x14ac:dyDescent="0.25">
      <c r="A42" s="4">
        <v>46</v>
      </c>
      <c r="B42" s="4" t="s">
        <v>392</v>
      </c>
      <c r="C42" s="8">
        <v>590.48</v>
      </c>
      <c r="D42" s="8">
        <v>590.48</v>
      </c>
      <c r="E42" s="4" t="s">
        <v>218</v>
      </c>
      <c r="F42" s="7" t="s">
        <v>385</v>
      </c>
    </row>
    <row r="43" spans="1:6" x14ac:dyDescent="0.25">
      <c r="A43" s="4">
        <v>47</v>
      </c>
      <c r="B43" s="4" t="s">
        <v>392</v>
      </c>
      <c r="C43" s="8">
        <v>1100</v>
      </c>
      <c r="D43" s="8">
        <v>1100</v>
      </c>
      <c r="E43" s="4" t="s">
        <v>218</v>
      </c>
      <c r="F43" s="7" t="s">
        <v>385</v>
      </c>
    </row>
    <row r="44" spans="1:6" x14ac:dyDescent="0.25">
      <c r="A44" s="4">
        <v>48</v>
      </c>
      <c r="B44" s="4" t="s">
        <v>392</v>
      </c>
      <c r="C44" s="8">
        <f>1100+2090</f>
        <v>3190</v>
      </c>
      <c r="D44" s="8">
        <f>1100+2090</f>
        <v>3190</v>
      </c>
      <c r="E44" s="4" t="s">
        <v>218</v>
      </c>
      <c r="F44" s="7" t="s">
        <v>385</v>
      </c>
    </row>
    <row r="45" spans="1:6" x14ac:dyDescent="0.25">
      <c r="A45" s="4">
        <v>49</v>
      </c>
      <c r="B45" s="4" t="s">
        <v>392</v>
      </c>
      <c r="C45" s="8">
        <f>1100+2199.48</f>
        <v>3299.48</v>
      </c>
      <c r="D45" s="8">
        <f>1100+2199.48</f>
        <v>3299.48</v>
      </c>
      <c r="E45" s="4" t="s">
        <v>218</v>
      </c>
      <c r="F45" s="7" t="s">
        <v>385</v>
      </c>
    </row>
    <row r="46" spans="1:6" x14ac:dyDescent="0.25">
      <c r="A46" s="4">
        <v>50</v>
      </c>
      <c r="B46" s="4" t="s">
        <v>392</v>
      </c>
      <c r="C46" s="8">
        <v>1100</v>
      </c>
      <c r="D46" s="8">
        <v>1100</v>
      </c>
      <c r="E46" s="4" t="s">
        <v>218</v>
      </c>
      <c r="F46" s="7" t="s">
        <v>385</v>
      </c>
    </row>
    <row r="47" spans="1:6" x14ac:dyDescent="0.25">
      <c r="A47" s="4">
        <v>51</v>
      </c>
      <c r="B47" s="4" t="s">
        <v>392</v>
      </c>
      <c r="C47" s="8">
        <f>1100+933.92</f>
        <v>2033.92</v>
      </c>
      <c r="D47" s="8">
        <f>1100+933.92</f>
        <v>2033.92</v>
      </c>
      <c r="E47" s="4" t="s">
        <v>218</v>
      </c>
      <c r="F47" s="7" t="s">
        <v>385</v>
      </c>
    </row>
    <row r="48" spans="1:6" x14ac:dyDescent="0.25">
      <c r="A48" s="4">
        <v>52</v>
      </c>
      <c r="B48" s="4" t="s">
        <v>392</v>
      </c>
      <c r="C48" s="8">
        <f>1100+1903.34</f>
        <v>3003.34</v>
      </c>
      <c r="D48" s="8">
        <f>1100+1903.34</f>
        <v>3003.34</v>
      </c>
      <c r="E48" s="4" t="s">
        <v>218</v>
      </c>
      <c r="F48" s="7" t="s">
        <v>385</v>
      </c>
    </row>
    <row r="49" spans="1:6" x14ac:dyDescent="0.25">
      <c r="A49" s="4">
        <v>53</v>
      </c>
      <c r="B49" s="4" t="s">
        <v>392</v>
      </c>
      <c r="C49" s="8">
        <f>1100+222.46</f>
        <v>1322.46</v>
      </c>
      <c r="D49" s="8">
        <f>1100+222.46</f>
        <v>1322.46</v>
      </c>
      <c r="E49" s="4" t="s">
        <v>218</v>
      </c>
      <c r="F49" s="7" t="s">
        <v>385</v>
      </c>
    </row>
    <row r="50" spans="1:6" x14ac:dyDescent="0.25">
      <c r="A50" s="4">
        <v>54</v>
      </c>
      <c r="B50" s="4" t="s">
        <v>392</v>
      </c>
      <c r="C50" s="8">
        <f>1100+466.96</f>
        <v>1566.96</v>
      </c>
      <c r="D50" s="8">
        <f>1100+466.96</f>
        <v>1566.96</v>
      </c>
      <c r="E50" s="4" t="s">
        <v>218</v>
      </c>
      <c r="F50" s="7" t="s">
        <v>385</v>
      </c>
    </row>
    <row r="51" spans="1:6" x14ac:dyDescent="0.25">
      <c r="A51" s="4">
        <v>55</v>
      </c>
      <c r="B51" s="4" t="s">
        <v>392</v>
      </c>
      <c r="C51" s="8">
        <f>1100+3311.88</f>
        <v>4411.88</v>
      </c>
      <c r="D51" s="8">
        <f>1100+3311.88</f>
        <v>4411.88</v>
      </c>
      <c r="E51" s="4" t="s">
        <v>218</v>
      </c>
      <c r="F51" s="7" t="s">
        <v>385</v>
      </c>
    </row>
    <row r="52" spans="1:6" x14ac:dyDescent="0.25">
      <c r="A52" s="4">
        <v>56</v>
      </c>
      <c r="B52" s="4" t="s">
        <v>392</v>
      </c>
      <c r="C52" s="8">
        <f>1100+667.62</f>
        <v>1767.62</v>
      </c>
      <c r="D52" s="8">
        <f>1100+667.62</f>
        <v>1767.62</v>
      </c>
      <c r="E52" s="4" t="s">
        <v>218</v>
      </c>
      <c r="F52" s="7" t="s">
        <v>385</v>
      </c>
    </row>
    <row r="53" spans="1:6" x14ac:dyDescent="0.25">
      <c r="A53" s="4">
        <v>57</v>
      </c>
      <c r="B53" s="4" t="s">
        <v>392</v>
      </c>
      <c r="C53" s="8">
        <f>1100+890.16</f>
        <v>1990.1599999999999</v>
      </c>
      <c r="D53" s="8">
        <f>1100+890.16</f>
        <v>1990.1599999999999</v>
      </c>
      <c r="E53" s="4" t="s">
        <v>218</v>
      </c>
      <c r="F53" s="7" t="s">
        <v>385</v>
      </c>
    </row>
    <row r="54" spans="1:6" x14ac:dyDescent="0.25">
      <c r="A54" s="4">
        <v>58</v>
      </c>
      <c r="B54" s="4" t="s">
        <v>392</v>
      </c>
      <c r="C54" s="8">
        <f>1100+1296.6</f>
        <v>2396.6</v>
      </c>
      <c r="D54" s="8">
        <f>1100+1296.6</f>
        <v>2396.6</v>
      </c>
      <c r="E54" s="4" t="s">
        <v>218</v>
      </c>
      <c r="F54" s="7" t="s">
        <v>385</v>
      </c>
    </row>
    <row r="55" spans="1:6" x14ac:dyDescent="0.25">
      <c r="A55" s="4">
        <v>59</v>
      </c>
      <c r="B55" s="4" t="s">
        <v>392</v>
      </c>
      <c r="C55" s="8">
        <f>1100+648.3</f>
        <v>1748.3</v>
      </c>
      <c r="D55" s="8">
        <f>1100+648.3</f>
        <v>1748.3</v>
      </c>
      <c r="E55" s="4" t="s">
        <v>218</v>
      </c>
      <c r="F55" s="7" t="s">
        <v>385</v>
      </c>
    </row>
    <row r="56" spans="1:6" x14ac:dyDescent="0.25">
      <c r="A56" s="4">
        <v>60</v>
      </c>
      <c r="B56" s="4" t="s">
        <v>392</v>
      </c>
      <c r="C56" s="8">
        <f>1100+3863.86</f>
        <v>4963.8600000000006</v>
      </c>
      <c r="D56" s="8">
        <f>1100+3863.86</f>
        <v>4963.8600000000006</v>
      </c>
      <c r="E56" s="4" t="s">
        <v>218</v>
      </c>
      <c r="F56" s="7" t="s">
        <v>385</v>
      </c>
    </row>
    <row r="57" spans="1:6" x14ac:dyDescent="0.25">
      <c r="A57" s="4">
        <v>61</v>
      </c>
      <c r="B57" s="4" t="s">
        <v>392</v>
      </c>
      <c r="C57" s="8">
        <f>1100+526.86</f>
        <v>1626.8600000000001</v>
      </c>
      <c r="D57" s="8">
        <f>1100+526.86</f>
        <v>1626.8600000000001</v>
      </c>
      <c r="E57" s="4" t="s">
        <v>218</v>
      </c>
      <c r="F57" s="7" t="s">
        <v>385</v>
      </c>
    </row>
    <row r="58" spans="1:6" x14ac:dyDescent="0.25">
      <c r="A58" s="4">
        <v>62</v>
      </c>
      <c r="B58" s="4" t="s">
        <v>392</v>
      </c>
      <c r="C58" s="8">
        <v>1100</v>
      </c>
      <c r="D58" s="8">
        <v>1100</v>
      </c>
      <c r="E58" s="4" t="s">
        <v>218</v>
      </c>
      <c r="F58" s="7" t="s">
        <v>385</v>
      </c>
    </row>
    <row r="59" spans="1:6" x14ac:dyDescent="0.25">
      <c r="A59" s="4">
        <v>63</v>
      </c>
      <c r="B59" s="4" t="s">
        <v>392</v>
      </c>
      <c r="C59" s="8">
        <v>1494.85</v>
      </c>
      <c r="D59" s="8">
        <v>1494.85</v>
      </c>
      <c r="E59" s="4" t="s">
        <v>218</v>
      </c>
      <c r="F59" s="7" t="s">
        <v>385</v>
      </c>
    </row>
    <row r="60" spans="1:6" x14ac:dyDescent="0.25">
      <c r="A60" s="4">
        <v>64</v>
      </c>
      <c r="B60" s="4" t="s">
        <v>392</v>
      </c>
      <c r="C60" s="8">
        <f>1100+1904.56</f>
        <v>3004.56</v>
      </c>
      <c r="D60" s="8">
        <f>1100+1904.56</f>
        <v>3004.56</v>
      </c>
      <c r="E60" s="4" t="s">
        <v>218</v>
      </c>
      <c r="F60" s="7" t="s">
        <v>385</v>
      </c>
    </row>
    <row r="61" spans="1:6" x14ac:dyDescent="0.25">
      <c r="A61" s="4">
        <v>65</v>
      </c>
      <c r="B61" s="4" t="s">
        <v>392</v>
      </c>
      <c r="C61" s="8">
        <v>1100</v>
      </c>
      <c r="D61" s="8">
        <v>1100</v>
      </c>
      <c r="E61" s="4" t="s">
        <v>218</v>
      </c>
      <c r="F61" s="7" t="s">
        <v>385</v>
      </c>
    </row>
    <row r="62" spans="1:6" x14ac:dyDescent="0.25">
      <c r="A62" s="4">
        <v>66</v>
      </c>
      <c r="B62" s="4" t="s">
        <v>392</v>
      </c>
      <c r="C62" s="12">
        <v>0</v>
      </c>
      <c r="D62" s="12">
        <v>0</v>
      </c>
      <c r="E62" s="4" t="s">
        <v>218</v>
      </c>
      <c r="F62" s="7" t="s">
        <v>385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F62"/>
  <sheetViews>
    <sheetView tabSelected="1" topLeftCell="A42" workbookViewId="0">
      <selection activeCell="C64" sqref="C6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3">
        <v>8</v>
      </c>
      <c r="B4" s="3" t="s">
        <v>386</v>
      </c>
      <c r="C4" s="8">
        <f>4536.43+3597.19+38.28+187.17+549.87</f>
        <v>8908.94</v>
      </c>
      <c r="D4" s="8">
        <f>4536.43+3597.19+38.28+187.17+549.87</f>
        <v>8908.94</v>
      </c>
      <c r="E4" s="3" t="s">
        <v>218</v>
      </c>
      <c r="F4" s="7" t="s">
        <v>385</v>
      </c>
    </row>
    <row r="5" spans="1:6" x14ac:dyDescent="0.25">
      <c r="A5" s="3">
        <v>9</v>
      </c>
      <c r="B5" s="3" t="s">
        <v>386</v>
      </c>
      <c r="C5" s="8">
        <f>2794.4+6518.29+38.28+338.72+187.17</f>
        <v>9876.86</v>
      </c>
      <c r="D5" s="8">
        <f>2794.4+6518.29+38.28+338.72+187.17</f>
        <v>9876.86</v>
      </c>
      <c r="E5" s="3" t="s">
        <v>218</v>
      </c>
      <c r="F5" s="7" t="s">
        <v>385</v>
      </c>
    </row>
    <row r="6" spans="1:6" x14ac:dyDescent="0.25">
      <c r="A6" s="3">
        <v>10</v>
      </c>
      <c r="B6" s="3" t="s">
        <v>386</v>
      </c>
      <c r="C6" s="8">
        <f>1650.08+19174.51+38.28+200.01+187.17</f>
        <v>21250.049999999992</v>
      </c>
      <c r="D6" s="8">
        <f>1650.08+19174.51+38.28+200.01+187.17</f>
        <v>21250.049999999992</v>
      </c>
      <c r="E6" s="3" t="s">
        <v>218</v>
      </c>
      <c r="F6" s="7" t="s">
        <v>385</v>
      </c>
    </row>
    <row r="7" spans="1:6" x14ac:dyDescent="0.25">
      <c r="A7" s="3">
        <v>11</v>
      </c>
      <c r="B7" s="3" t="s">
        <v>386</v>
      </c>
      <c r="C7" s="8">
        <f>2704.06+6272.16+38.28+327.77+187.17</f>
        <v>9529.44</v>
      </c>
      <c r="D7" s="8">
        <f>2704.06+6272.16+38.28+327.77+187.17</f>
        <v>9529.44</v>
      </c>
      <c r="E7" s="3" t="s">
        <v>218</v>
      </c>
      <c r="F7" s="7" t="s">
        <v>385</v>
      </c>
    </row>
    <row r="8" spans="1:6" x14ac:dyDescent="0.25">
      <c r="A8" s="3">
        <v>12</v>
      </c>
      <c r="B8" s="3" t="s">
        <v>386</v>
      </c>
      <c r="C8" s="8">
        <f>5694.73+3935.15+38.28+690.27+187.17</f>
        <v>10545.6</v>
      </c>
      <c r="D8" s="8">
        <f>5694.73+3935.15+38.28+690.27+187.17</f>
        <v>10545.6</v>
      </c>
      <c r="E8" s="3" t="s">
        <v>218</v>
      </c>
      <c r="F8" s="7" t="s">
        <v>385</v>
      </c>
    </row>
    <row r="9" spans="1:6" x14ac:dyDescent="0.25">
      <c r="A9" s="3">
        <v>13</v>
      </c>
      <c r="B9" s="3" t="s">
        <v>386</v>
      </c>
      <c r="C9" s="8">
        <f>2754.18+2122.35+38.28+333.84+187.17</f>
        <v>5435.82</v>
      </c>
      <c r="D9" s="8">
        <f>2754.18+2122.35+38.28+333.84+187.17</f>
        <v>5435.82</v>
      </c>
      <c r="E9" s="3" t="s">
        <v>218</v>
      </c>
      <c r="F9" s="7" t="s">
        <v>385</v>
      </c>
    </row>
    <row r="10" spans="1:6" x14ac:dyDescent="0.25">
      <c r="A10" s="3">
        <v>14</v>
      </c>
      <c r="B10" s="3" t="s">
        <v>386</v>
      </c>
      <c r="C10" s="8">
        <f>9530.11+3740.78+38.28+1155.17+187.17</f>
        <v>14651.510000000002</v>
      </c>
      <c r="D10" s="8">
        <f>9530.11+3740.78+38.28+1155.17+187.17</f>
        <v>14651.510000000002</v>
      </c>
      <c r="E10" s="3" t="s">
        <v>218</v>
      </c>
      <c r="F10" s="7" t="s">
        <v>385</v>
      </c>
    </row>
    <row r="11" spans="1:6" x14ac:dyDescent="0.25">
      <c r="A11" s="3">
        <v>15</v>
      </c>
      <c r="B11" s="3" t="s">
        <v>386</v>
      </c>
      <c r="C11" s="8">
        <f>2865.18+6250.54+38.28+347.3+187.17</f>
        <v>9688.4699999999993</v>
      </c>
      <c r="D11" s="8">
        <f>2865.18+6250.54+38.28+347.3+187.17</f>
        <v>9688.4699999999993</v>
      </c>
      <c r="E11" s="3" t="s">
        <v>218</v>
      </c>
      <c r="F11" s="7" t="s">
        <v>385</v>
      </c>
    </row>
    <row r="12" spans="1:6" x14ac:dyDescent="0.25">
      <c r="A12" s="3">
        <v>16</v>
      </c>
      <c r="B12" s="3" t="s">
        <v>386</v>
      </c>
      <c r="C12" s="8">
        <f>2889.32+2764.21+38.28+350.22+187.17</f>
        <v>6229.2000000000007</v>
      </c>
      <c r="D12" s="8">
        <f>2889.32+2764.21+38.28+350.22+187.17</f>
        <v>6229.2000000000007</v>
      </c>
      <c r="E12" s="3" t="s">
        <v>218</v>
      </c>
      <c r="F12" s="7" t="s">
        <v>385</v>
      </c>
    </row>
    <row r="13" spans="1:6" x14ac:dyDescent="0.25">
      <c r="A13" s="3">
        <v>17</v>
      </c>
      <c r="B13" s="3" t="s">
        <v>386</v>
      </c>
      <c r="C13" s="8">
        <f>2753.93+2386.61+38.28+333.81+187.17</f>
        <v>5699.8</v>
      </c>
      <c r="D13" s="8">
        <f>2753.93+2386.61+38.28+333.81+187.17</f>
        <v>5699.8</v>
      </c>
      <c r="E13" s="3" t="s">
        <v>218</v>
      </c>
      <c r="F13" s="7" t="s">
        <v>385</v>
      </c>
    </row>
    <row r="14" spans="1:6" x14ac:dyDescent="0.25">
      <c r="A14" s="3">
        <v>18</v>
      </c>
      <c r="B14" s="3" t="s">
        <v>386</v>
      </c>
      <c r="C14" s="8">
        <f>2889.44+6310.52+38.28+350.24+187.17</f>
        <v>9775.6500000000015</v>
      </c>
      <c r="D14" s="8">
        <f>2889.44+6310.52+38.28+350.24+187.17</f>
        <v>9775.6500000000015</v>
      </c>
      <c r="E14" s="3" t="s">
        <v>218</v>
      </c>
      <c r="F14" s="7" t="s">
        <v>385</v>
      </c>
    </row>
    <row r="15" spans="1:6" x14ac:dyDescent="0.25">
      <c r="A15" s="3">
        <v>19</v>
      </c>
      <c r="B15" s="3" t="s">
        <v>386</v>
      </c>
      <c r="C15" s="8">
        <f>2889.32+3547.12+38.28+350.22+187.17</f>
        <v>7012.1100000000006</v>
      </c>
      <c r="D15" s="8">
        <f>2889.32+3547.12+38.28+350.22+187.17</f>
        <v>7012.1100000000006</v>
      </c>
      <c r="E15" s="3" t="s">
        <v>218</v>
      </c>
      <c r="F15" s="7" t="s">
        <v>385</v>
      </c>
    </row>
    <row r="16" spans="1:6" x14ac:dyDescent="0.25">
      <c r="A16" s="3">
        <v>20</v>
      </c>
      <c r="B16" s="3" t="s">
        <v>386</v>
      </c>
      <c r="C16" s="8">
        <f>1270.67+12201.91+38.28+154.02+187.17</f>
        <v>13852.050000000001</v>
      </c>
      <c r="D16" s="8">
        <f>1270.67+12201.91+38.28+154.02+187.17</f>
        <v>13852.050000000001</v>
      </c>
      <c r="E16" s="3" t="s">
        <v>218</v>
      </c>
      <c r="F16" s="7" t="s">
        <v>385</v>
      </c>
    </row>
    <row r="17" spans="1:6" x14ac:dyDescent="0.25">
      <c r="A17" s="3">
        <v>21</v>
      </c>
      <c r="B17" s="3" t="s">
        <v>386</v>
      </c>
      <c r="C17" s="8">
        <f>2889.32+2800.66+38.28+350.22+187.17</f>
        <v>6265.65</v>
      </c>
      <c r="D17" s="8">
        <f>2889.32+2800.66+38.28+350.22+187.17</f>
        <v>6265.65</v>
      </c>
      <c r="E17" s="3" t="s">
        <v>218</v>
      </c>
      <c r="F17" s="7" t="s">
        <v>385</v>
      </c>
    </row>
    <row r="18" spans="1:6" x14ac:dyDescent="0.25">
      <c r="A18" s="3">
        <v>22</v>
      </c>
      <c r="B18" s="3" t="s">
        <v>386</v>
      </c>
      <c r="C18" s="8">
        <f>6225.49+6737.32+38.28+754.61+187.17</f>
        <v>13942.87</v>
      </c>
      <c r="D18" s="8">
        <f>6225.49+6737.32+38.28+754.61+187.17</f>
        <v>13942.87</v>
      </c>
      <c r="E18" s="3" t="s">
        <v>218</v>
      </c>
      <c r="F18" s="7" t="s">
        <v>385</v>
      </c>
    </row>
    <row r="19" spans="1:6" x14ac:dyDescent="0.25">
      <c r="A19" s="3">
        <v>23</v>
      </c>
      <c r="B19" s="3" t="s">
        <v>386</v>
      </c>
      <c r="C19" s="8">
        <f>2780.79+8337.31+38.28+337.07+197.17</f>
        <v>11690.619999999999</v>
      </c>
      <c r="D19" s="8">
        <f>2780.79+8337.31+38.28+337.07+197.17</f>
        <v>11690.619999999999</v>
      </c>
      <c r="E19" s="3" t="s">
        <v>218</v>
      </c>
      <c r="F19" s="7" t="s">
        <v>385</v>
      </c>
    </row>
    <row r="20" spans="1:6" x14ac:dyDescent="0.25">
      <c r="A20" s="3">
        <v>24</v>
      </c>
      <c r="B20" s="3" t="s">
        <v>386</v>
      </c>
      <c r="C20" s="8">
        <f>2753.93+1898.15+38.28+333.81+187.17</f>
        <v>5211.34</v>
      </c>
      <c r="D20" s="8">
        <f>2753.93+1898.15+38.28+333.81+187.17</f>
        <v>5211.34</v>
      </c>
      <c r="E20" s="3" t="s">
        <v>218</v>
      </c>
      <c r="F20" s="7" t="s">
        <v>385</v>
      </c>
    </row>
    <row r="21" spans="1:6" x14ac:dyDescent="0.25">
      <c r="A21" s="3">
        <v>25</v>
      </c>
      <c r="B21" s="3" t="s">
        <v>386</v>
      </c>
      <c r="C21" s="8">
        <f>2171.94+2068.99+38.28+263.27+187.17</f>
        <v>4729.6499999999996</v>
      </c>
      <c r="D21" s="8">
        <f>2171.94+2068.99+38.28+263.27+187.17</f>
        <v>4729.6499999999996</v>
      </c>
      <c r="E21" s="3" t="s">
        <v>218</v>
      </c>
      <c r="F21" s="7" t="s">
        <v>385</v>
      </c>
    </row>
    <row r="22" spans="1:6" x14ac:dyDescent="0.25">
      <c r="A22" s="3">
        <v>26</v>
      </c>
      <c r="B22" s="3" t="s">
        <v>386</v>
      </c>
      <c r="C22" s="8">
        <f>6468.41+6918.16+38.28+784.05+187.17</f>
        <v>14396.07</v>
      </c>
      <c r="D22" s="8">
        <f>6468.41+6918.16+38.28+784.05+187.17</f>
        <v>14396.07</v>
      </c>
      <c r="E22" s="3" t="s">
        <v>218</v>
      </c>
      <c r="F22" s="7" t="s">
        <v>385</v>
      </c>
    </row>
    <row r="23" spans="1:6" x14ac:dyDescent="0.25">
      <c r="A23" s="3">
        <v>27</v>
      </c>
      <c r="B23" s="3" t="s">
        <v>386</v>
      </c>
      <c r="C23" s="8">
        <f>1783.08+2049.11+27.84+57.39+136.12</f>
        <v>4053.54</v>
      </c>
      <c r="D23" s="8">
        <f>1783.08+2049.11+27.84+57.39+136.12</f>
        <v>4053.54</v>
      </c>
      <c r="E23" s="3" t="s">
        <v>218</v>
      </c>
      <c r="F23" s="7" t="s">
        <v>385</v>
      </c>
    </row>
    <row r="24" spans="1:6" x14ac:dyDescent="0.25">
      <c r="A24" s="3">
        <v>28</v>
      </c>
      <c r="B24" s="3" t="s">
        <v>386</v>
      </c>
      <c r="C24" s="8">
        <f>2889.44+2741.41+38.28+350.24+187.17</f>
        <v>6206.54</v>
      </c>
      <c r="D24" s="8">
        <f>2889.44+2741.41+38.28+350.24+187.17</f>
        <v>6206.54</v>
      </c>
      <c r="E24" s="3" t="s">
        <v>218</v>
      </c>
      <c r="F24" s="7" t="s">
        <v>385</v>
      </c>
    </row>
    <row r="25" spans="1:6" x14ac:dyDescent="0.25">
      <c r="A25" s="3">
        <v>29</v>
      </c>
      <c r="B25" s="3" t="s">
        <v>386</v>
      </c>
      <c r="C25" s="8">
        <f>2753.93+3831.59+38.28+333.81+187.17</f>
        <v>7144.7800000000007</v>
      </c>
      <c r="D25" s="8">
        <f>2753.93+3831.59+38.28+333.81+187.17</f>
        <v>7144.7800000000007</v>
      </c>
      <c r="E25" s="3" t="s">
        <v>218</v>
      </c>
      <c r="F25" s="7" t="s">
        <v>385</v>
      </c>
    </row>
    <row r="26" spans="1:6" x14ac:dyDescent="0.25">
      <c r="A26" s="3">
        <v>30</v>
      </c>
      <c r="B26" s="3" t="s">
        <v>386</v>
      </c>
      <c r="C26" s="8">
        <f>3637.01+3475.04+38.28+440.85+187.17</f>
        <v>7778.35</v>
      </c>
      <c r="D26" s="8">
        <f>3637.01+3475.04+38.28+440.85+187.17</f>
        <v>7778.35</v>
      </c>
      <c r="E26" s="3" t="s">
        <v>218</v>
      </c>
      <c r="F26" s="7" t="s">
        <v>385</v>
      </c>
    </row>
    <row r="27" spans="1:6" x14ac:dyDescent="0.25">
      <c r="A27" s="3">
        <v>31</v>
      </c>
      <c r="B27" s="3" t="s">
        <v>386</v>
      </c>
      <c r="C27" s="8">
        <f>2173.42+1939.3+38.28+263.45+187.17</f>
        <v>4601.62</v>
      </c>
      <c r="D27" s="8">
        <f>2173.42+1939.3+38.28+263.45+187.17</f>
        <v>4601.62</v>
      </c>
      <c r="E27" s="3" t="s">
        <v>218</v>
      </c>
      <c r="F27" s="7" t="s">
        <v>385</v>
      </c>
    </row>
    <row r="28" spans="1:6" x14ac:dyDescent="0.25">
      <c r="A28" s="3">
        <v>32</v>
      </c>
      <c r="B28" s="3" t="s">
        <v>386</v>
      </c>
      <c r="C28" s="8">
        <f>1730.1+1232.51+27.84+55.68+136.12</f>
        <v>3182.2499999999995</v>
      </c>
      <c r="D28" s="8">
        <f>1730.1+1232.51+27.84+55.68+136.12</f>
        <v>3182.2499999999995</v>
      </c>
      <c r="E28" s="3" t="s">
        <v>218</v>
      </c>
      <c r="F28" s="7" t="s">
        <v>385</v>
      </c>
    </row>
    <row r="29" spans="1:6" x14ac:dyDescent="0.25">
      <c r="A29" s="3">
        <v>33</v>
      </c>
      <c r="B29" s="3" t="s">
        <v>386</v>
      </c>
      <c r="C29" s="8">
        <f>5251.46+5727.24+38.28+636.54+187.17</f>
        <v>11840.69</v>
      </c>
      <c r="D29" s="8">
        <f>5251.46+5727.24+38.28+636.54+187.17</f>
        <v>11840.69</v>
      </c>
      <c r="E29" s="3" t="s">
        <v>218</v>
      </c>
      <c r="F29" s="7" t="s">
        <v>385</v>
      </c>
    </row>
    <row r="30" spans="1:6" x14ac:dyDescent="0.25">
      <c r="A30" s="3">
        <v>34</v>
      </c>
      <c r="B30" s="3" t="s">
        <v>386</v>
      </c>
      <c r="C30" s="8">
        <f>2349.89+2733.37+38.28+284.84+187.17</f>
        <v>5593.55</v>
      </c>
      <c r="D30" s="8">
        <f>2349.89+2733.37+38.28+284.84+187.17</f>
        <v>5593.55</v>
      </c>
      <c r="E30" s="3" t="s">
        <v>218</v>
      </c>
      <c r="F30" s="7" t="s">
        <v>385</v>
      </c>
    </row>
    <row r="31" spans="1:6" x14ac:dyDescent="0.25">
      <c r="A31" s="3">
        <v>35</v>
      </c>
      <c r="B31" s="3" t="s">
        <v>386</v>
      </c>
      <c r="C31" s="8">
        <f>2754.06+6201.55+333.83+187.17</f>
        <v>9476.61</v>
      </c>
      <c r="D31" s="8">
        <f>2754.06+6201.55+333.83+187.17</f>
        <v>9476.61</v>
      </c>
      <c r="E31" s="3" t="s">
        <v>218</v>
      </c>
      <c r="F31" s="7" t="s">
        <v>385</v>
      </c>
    </row>
    <row r="32" spans="1:6" x14ac:dyDescent="0.25">
      <c r="A32" s="3">
        <v>36</v>
      </c>
      <c r="B32" s="3" t="s">
        <v>386</v>
      </c>
      <c r="C32" s="8">
        <f>7957.37+3815.35+38.28+694.53+187.17</f>
        <v>12692.7</v>
      </c>
      <c r="D32" s="8">
        <f>7957.37+3815.35+38.28+694.53+187.17</f>
        <v>12692.7</v>
      </c>
      <c r="E32" s="3" t="s">
        <v>218</v>
      </c>
      <c r="F32" s="7" t="s">
        <v>385</v>
      </c>
    </row>
    <row r="33" spans="1:6" x14ac:dyDescent="0.25">
      <c r="A33" s="3">
        <v>37</v>
      </c>
      <c r="B33" s="3" t="s">
        <v>386</v>
      </c>
      <c r="C33" s="8">
        <f>1752.66+972.96+34.54+119.11</f>
        <v>2879.27</v>
      </c>
      <c r="D33" s="8">
        <f>1752.66+972.96+34.54+119.11</f>
        <v>2879.27</v>
      </c>
      <c r="E33" s="3" t="s">
        <v>218</v>
      </c>
      <c r="F33" s="7" t="s">
        <v>385</v>
      </c>
    </row>
    <row r="34" spans="1:6" x14ac:dyDescent="0.25">
      <c r="A34" s="3">
        <v>38</v>
      </c>
      <c r="B34" s="3" t="s">
        <v>386</v>
      </c>
      <c r="C34" s="8">
        <f>4194.09+5235.71+568.79+187.17</f>
        <v>10185.76</v>
      </c>
      <c r="D34" s="8">
        <f>4194.09+5235.71+568.79+187.17</f>
        <v>10185.76</v>
      </c>
      <c r="E34" s="3" t="s">
        <v>218</v>
      </c>
      <c r="F34" s="7" t="s">
        <v>385</v>
      </c>
    </row>
    <row r="35" spans="1:6" x14ac:dyDescent="0.25">
      <c r="A35" s="3">
        <v>39</v>
      </c>
      <c r="B35" s="3" t="s">
        <v>386</v>
      </c>
      <c r="C35" s="8">
        <f>3170.23+3356.26+38.28+384.27+187.17</f>
        <v>7136.2099999999991</v>
      </c>
      <c r="D35" s="8">
        <f>3170.23+3356.26+38.28+384.27+187.17</f>
        <v>7136.2099999999991</v>
      </c>
      <c r="E35" s="3" t="s">
        <v>218</v>
      </c>
      <c r="F35" s="7" t="s">
        <v>385</v>
      </c>
    </row>
    <row r="36" spans="1:6" x14ac:dyDescent="0.25">
      <c r="A36" s="3">
        <v>40</v>
      </c>
      <c r="B36" s="3" t="s">
        <v>386</v>
      </c>
      <c r="C36" s="8">
        <f>3002.67+2792.93+38.28+363.96+187.17</f>
        <v>6385.01</v>
      </c>
      <c r="D36" s="8">
        <f>3002.67+2792.93+38.28+363.96+187.17</f>
        <v>6385.01</v>
      </c>
      <c r="E36" s="3" t="s">
        <v>218</v>
      </c>
      <c r="F36" s="7" t="s">
        <v>385</v>
      </c>
    </row>
    <row r="37" spans="1:6" x14ac:dyDescent="0.25">
      <c r="A37" s="3">
        <v>41</v>
      </c>
      <c r="B37" s="3" t="s">
        <v>386</v>
      </c>
      <c r="C37" s="8">
        <f>6468.41+3613.71+38.28+784.05+187.17</f>
        <v>11091.619999999999</v>
      </c>
      <c r="D37" s="8">
        <f>6468.41+3613.71+38.28+784.05+187.17</f>
        <v>11091.619999999999</v>
      </c>
      <c r="E37" s="3" t="s">
        <v>218</v>
      </c>
      <c r="F37" s="7" t="s">
        <v>385</v>
      </c>
    </row>
    <row r="38" spans="1:6" x14ac:dyDescent="0.25">
      <c r="A38" s="3">
        <v>42</v>
      </c>
      <c r="B38" s="3" t="s">
        <v>386</v>
      </c>
      <c r="C38" s="8">
        <f>2807.65+3591.53+38.28+350.21+187.17</f>
        <v>6974.84</v>
      </c>
      <c r="D38" s="8">
        <f>2807.65+3591.53+38.28+350.21+187.17</f>
        <v>6974.84</v>
      </c>
      <c r="E38" s="3" t="s">
        <v>218</v>
      </c>
      <c r="F38" s="7" t="s">
        <v>385</v>
      </c>
    </row>
    <row r="39" spans="1:6" x14ac:dyDescent="0.25">
      <c r="A39" s="3">
        <v>43</v>
      </c>
      <c r="B39" s="3" t="s">
        <v>386</v>
      </c>
      <c r="C39" s="8">
        <f>1997.7+2528.46+38.28+242.15+187.17</f>
        <v>4993.7599999999993</v>
      </c>
      <c r="D39" s="8">
        <f>1997.7+2528.46+38.28+242.15+187.17</f>
        <v>4993.7599999999993</v>
      </c>
      <c r="E39" s="3" t="s">
        <v>218</v>
      </c>
      <c r="F39" s="7" t="s">
        <v>385</v>
      </c>
    </row>
    <row r="40" spans="1:6" x14ac:dyDescent="0.25">
      <c r="A40" s="3">
        <v>44</v>
      </c>
      <c r="B40" s="3" t="s">
        <v>386</v>
      </c>
      <c r="C40" s="8">
        <f>2830.66+1920.96+38.28+350.22+187.17</f>
        <v>5327.29</v>
      </c>
      <c r="D40" s="8">
        <f>2830.66+1920.96+38.28+350.22+187.17</f>
        <v>5327.29</v>
      </c>
      <c r="E40" s="3" t="s">
        <v>218</v>
      </c>
      <c r="F40" s="7" t="s">
        <v>385</v>
      </c>
    </row>
    <row r="41" spans="1:6" x14ac:dyDescent="0.25">
      <c r="A41" s="3">
        <v>45</v>
      </c>
      <c r="B41" s="3" t="s">
        <v>386</v>
      </c>
      <c r="C41" s="8">
        <f>2004.63+3767.94+38.28+242.99+187.17</f>
        <v>6241.0099999999993</v>
      </c>
      <c r="D41" s="8">
        <f>2004.63+3767.94+38.28+242.99+187.17</f>
        <v>6241.0099999999993</v>
      </c>
      <c r="E41" s="3" t="s">
        <v>218</v>
      </c>
      <c r="F41" s="7" t="s">
        <v>385</v>
      </c>
    </row>
    <row r="42" spans="1:6" x14ac:dyDescent="0.25">
      <c r="A42" s="3">
        <v>46</v>
      </c>
      <c r="B42" s="3" t="s">
        <v>386</v>
      </c>
      <c r="C42" s="8">
        <f>3445.16+3090.34+38.28+442.86+187.17</f>
        <v>7203.8099999999995</v>
      </c>
      <c r="D42" s="8">
        <f>3445.16+3090.34+38.28+442.86+187.17</f>
        <v>7203.8099999999995</v>
      </c>
      <c r="E42" s="3" t="s">
        <v>218</v>
      </c>
      <c r="F42" s="7" t="s">
        <v>385</v>
      </c>
    </row>
    <row r="43" spans="1:6" x14ac:dyDescent="0.25">
      <c r="A43" s="3">
        <v>47</v>
      </c>
      <c r="B43" s="3" t="s">
        <v>386</v>
      </c>
      <c r="C43" s="8">
        <f>2834.7+4341.9+38.28+347.27+187.17</f>
        <v>7749.32</v>
      </c>
      <c r="D43" s="8">
        <f>2834.7+4341.9+38.28+347.27+187.17</f>
        <v>7749.32</v>
      </c>
      <c r="E43" s="3" t="s">
        <v>218</v>
      </c>
      <c r="F43" s="7" t="s">
        <v>385</v>
      </c>
    </row>
    <row r="44" spans="1:6" x14ac:dyDescent="0.25">
      <c r="A44" s="3">
        <v>48</v>
      </c>
      <c r="B44" s="3" t="s">
        <v>386</v>
      </c>
      <c r="C44" s="8">
        <f>6468.41+5624.62+38.28+784.05+187.17</f>
        <v>13102.529999999999</v>
      </c>
      <c r="D44" s="8">
        <f>6468.41+5624.62+38.28+784.05+187.17</f>
        <v>13102.529999999999</v>
      </c>
      <c r="E44" s="3" t="s">
        <v>218</v>
      </c>
      <c r="F44" s="7" t="s">
        <v>385</v>
      </c>
    </row>
    <row r="45" spans="1:6" x14ac:dyDescent="0.25">
      <c r="A45" s="3">
        <v>49</v>
      </c>
      <c r="B45" s="3" t="s">
        <v>386</v>
      </c>
      <c r="C45" s="8">
        <f>4536.43+5202.87+38.28+549.87+187.17</f>
        <v>10514.62</v>
      </c>
      <c r="D45" s="8">
        <f>4536.43+5202.87+38.28+549.87+187.17</f>
        <v>10514.62</v>
      </c>
      <c r="E45" s="3" t="s">
        <v>218</v>
      </c>
      <c r="F45" s="7" t="s">
        <v>385</v>
      </c>
    </row>
    <row r="46" spans="1:6" x14ac:dyDescent="0.25">
      <c r="A46" s="3">
        <v>50</v>
      </c>
      <c r="B46" s="3" t="s">
        <v>386</v>
      </c>
      <c r="C46" s="8">
        <f>5204.31+9470.73+38.28+630.83+187.17</f>
        <v>15531.320000000002</v>
      </c>
      <c r="D46" s="8">
        <f>5204.31+9470.73+38.28+630.83+187.17</f>
        <v>15531.320000000002</v>
      </c>
      <c r="E46" s="3" t="s">
        <v>218</v>
      </c>
      <c r="F46" s="7" t="s">
        <v>385</v>
      </c>
    </row>
    <row r="47" spans="1:6" x14ac:dyDescent="0.25">
      <c r="A47" s="3">
        <v>51</v>
      </c>
      <c r="B47" s="3" t="s">
        <v>386</v>
      </c>
      <c r="C47" s="8">
        <f>2889.32+2812.04+38.28+350.22+187.17</f>
        <v>6277.0300000000007</v>
      </c>
      <c r="D47" s="8">
        <f>2889.32+2812.04+38.28+350.22+187.17</f>
        <v>6277.0300000000007</v>
      </c>
      <c r="E47" s="3" t="s">
        <v>218</v>
      </c>
      <c r="F47" s="7" t="s">
        <v>385</v>
      </c>
    </row>
    <row r="48" spans="1:6" x14ac:dyDescent="0.25">
      <c r="A48" s="3">
        <v>52</v>
      </c>
      <c r="B48" s="3" t="s">
        <v>386</v>
      </c>
      <c r="C48" s="8">
        <f>5278.94+4385.77+38.28+713.75+187.17</f>
        <v>10603.91</v>
      </c>
      <c r="D48" s="8">
        <f>5278.94+4385.77+38.28+713.75+187.17</f>
        <v>10603.91</v>
      </c>
      <c r="E48" s="3" t="s">
        <v>218</v>
      </c>
      <c r="F48" s="7" t="s">
        <v>385</v>
      </c>
    </row>
    <row r="49" spans="1:6" x14ac:dyDescent="0.25">
      <c r="A49" s="3">
        <v>53</v>
      </c>
      <c r="B49" s="3" t="s">
        <v>386</v>
      </c>
      <c r="C49" s="8">
        <f>2752.94+6502.65+38.28+333.69+187.17</f>
        <v>9814.7300000000014</v>
      </c>
      <c r="D49" s="8">
        <f>2752.94+6502.65+38.28+333.69+187.17</f>
        <v>9814.7300000000014</v>
      </c>
      <c r="E49" s="3" t="s">
        <v>218</v>
      </c>
      <c r="F49" s="7" t="s">
        <v>385</v>
      </c>
    </row>
    <row r="50" spans="1:6" x14ac:dyDescent="0.25">
      <c r="A50" s="3">
        <v>54</v>
      </c>
      <c r="B50" s="3" t="s">
        <v>386</v>
      </c>
      <c r="C50" s="8">
        <f>2889.32+8287.44+38.28+350.22+187.17</f>
        <v>11752.43</v>
      </c>
      <c r="D50" s="8">
        <f>2889.32+8287.44+38.28+350.22+187.17</f>
        <v>11752.43</v>
      </c>
      <c r="E50" s="3" t="s">
        <v>218</v>
      </c>
      <c r="F50" s="7" t="s">
        <v>385</v>
      </c>
    </row>
    <row r="51" spans="1:6" x14ac:dyDescent="0.25">
      <c r="A51" s="3">
        <v>55</v>
      </c>
      <c r="B51" s="3" t="s">
        <v>386</v>
      </c>
      <c r="C51" s="8">
        <f>6830.75+6611.31+38.28+827.97+187.17</f>
        <v>14495.480000000001</v>
      </c>
      <c r="D51" s="8">
        <f>6830.75+6611.31+38.28+827.97+187.17</f>
        <v>14495.480000000001</v>
      </c>
      <c r="E51" s="3" t="s">
        <v>218</v>
      </c>
      <c r="F51" s="7" t="s">
        <v>385</v>
      </c>
    </row>
    <row r="52" spans="1:6" x14ac:dyDescent="0.25">
      <c r="A52" s="3">
        <v>56</v>
      </c>
      <c r="B52" s="3" t="s">
        <v>386</v>
      </c>
      <c r="C52" s="8">
        <f>2753.93+1581.82+38.28+333.81+187.17</f>
        <v>4895.01</v>
      </c>
      <c r="D52" s="8">
        <f>2753.93+1581.82+38.28+333.81+187.17</f>
        <v>4895.01</v>
      </c>
      <c r="E52" s="3" t="s">
        <v>218</v>
      </c>
      <c r="F52" s="7" t="s">
        <v>385</v>
      </c>
    </row>
    <row r="53" spans="1:6" x14ac:dyDescent="0.25">
      <c r="A53" s="3">
        <v>57</v>
      </c>
      <c r="B53" s="3" t="s">
        <v>386</v>
      </c>
      <c r="C53" s="8">
        <f>2588.92+1730.47+38.28+333.81+187.17</f>
        <v>4878.6500000000005</v>
      </c>
      <c r="D53" s="8">
        <f>2588.92+1730.47+38.28+333.81+187.17</f>
        <v>4878.6500000000005</v>
      </c>
      <c r="E53" s="3" t="s">
        <v>218</v>
      </c>
      <c r="F53" s="7" t="s">
        <v>385</v>
      </c>
    </row>
    <row r="54" spans="1:6" x14ac:dyDescent="0.25">
      <c r="A54" s="4">
        <v>58</v>
      </c>
      <c r="B54" s="3" t="s">
        <v>386</v>
      </c>
      <c r="C54" s="8">
        <f>2593.64+1436.69+324.15+187.17</f>
        <v>4541.6499999999996</v>
      </c>
      <c r="D54" s="8">
        <f>2593.64+1436.69+324.15+187.17</f>
        <v>4541.6499999999996</v>
      </c>
      <c r="E54" s="3" t="s">
        <v>218</v>
      </c>
      <c r="F54" s="7" t="s">
        <v>385</v>
      </c>
    </row>
    <row r="55" spans="1:6" x14ac:dyDescent="0.25">
      <c r="A55" s="4">
        <v>59</v>
      </c>
      <c r="B55" s="3" t="s">
        <v>386</v>
      </c>
      <c r="C55" s="8">
        <f>2674.24+1833.24+38.28+324.15+187.17</f>
        <v>5057.079999999999</v>
      </c>
      <c r="D55" s="8">
        <f>2674.24+1833.24+38.28+324.15+187.17</f>
        <v>5057.079999999999</v>
      </c>
      <c r="E55" s="3" t="s">
        <v>218</v>
      </c>
      <c r="F55" s="7" t="s">
        <v>385</v>
      </c>
    </row>
    <row r="56" spans="1:6" x14ac:dyDescent="0.25">
      <c r="A56" s="4">
        <v>60</v>
      </c>
      <c r="B56" s="3" t="s">
        <v>386</v>
      </c>
      <c r="C56" s="8">
        <f>6830.75+3956.13+38.28+827.97+187.17</f>
        <v>11840.300000000001</v>
      </c>
      <c r="D56" s="8">
        <f>6830.75+3956.13+38.28+827.97+187.17</f>
        <v>11840.300000000001</v>
      </c>
      <c r="E56" s="3" t="s">
        <v>218</v>
      </c>
      <c r="F56" s="7" t="s">
        <v>385</v>
      </c>
    </row>
    <row r="57" spans="1:6" x14ac:dyDescent="0.25">
      <c r="A57" s="4">
        <v>61</v>
      </c>
      <c r="B57" s="3" t="s">
        <v>386</v>
      </c>
      <c r="C57" s="8">
        <f>2173.3+3143.58+38.28+263.43+187.17</f>
        <v>5805.76</v>
      </c>
      <c r="D57" s="8">
        <f>2173.3+3143.58+38.28+263.43+187.17</f>
        <v>5805.76</v>
      </c>
      <c r="E57" s="3" t="s">
        <v>218</v>
      </c>
      <c r="F57" s="7" t="s">
        <v>385</v>
      </c>
    </row>
    <row r="58" spans="1:6" x14ac:dyDescent="0.25">
      <c r="A58" s="4">
        <v>62</v>
      </c>
      <c r="B58" s="3" t="s">
        <v>386</v>
      </c>
      <c r="C58" s="8">
        <f>1695.88+1647.96+24.36+33.42+119.11</f>
        <v>3520.7300000000005</v>
      </c>
      <c r="D58" s="8">
        <f>1695.88+1647.96+24.36+33.42+119.11</f>
        <v>3520.7300000000005</v>
      </c>
      <c r="E58" s="4" t="s">
        <v>218</v>
      </c>
      <c r="F58" s="7" t="s">
        <v>385</v>
      </c>
    </row>
    <row r="59" spans="1:6" x14ac:dyDescent="0.25">
      <c r="A59" s="4">
        <v>63</v>
      </c>
      <c r="B59" s="3" t="s">
        <v>386</v>
      </c>
      <c r="C59" s="8">
        <f>2642.68+6372.09+38.28+320.33+187.17</f>
        <v>9560.5500000000011</v>
      </c>
      <c r="D59" s="8">
        <f>2642.68+6372.09+38.28+320.33+187.17</f>
        <v>9560.5500000000011</v>
      </c>
      <c r="E59" s="4" t="s">
        <v>218</v>
      </c>
      <c r="F59" s="7" t="s">
        <v>385</v>
      </c>
    </row>
    <row r="60" spans="1:6" x14ac:dyDescent="0.25">
      <c r="A60" s="4">
        <v>64</v>
      </c>
      <c r="B60" s="3" t="s">
        <v>386</v>
      </c>
      <c r="C60" s="8">
        <f>3366.99+2716.05+38.28+408.12+187.17</f>
        <v>6716.61</v>
      </c>
      <c r="D60" s="8">
        <f>3366.99+2716.05+38.28+408.12+187.17</f>
        <v>6716.61</v>
      </c>
      <c r="E60" s="4" t="s">
        <v>218</v>
      </c>
      <c r="F60" s="7" t="s">
        <v>385</v>
      </c>
    </row>
    <row r="61" spans="1:6" x14ac:dyDescent="0.25">
      <c r="A61" s="4">
        <v>65</v>
      </c>
      <c r="B61" s="3" t="s">
        <v>386</v>
      </c>
      <c r="C61" s="8">
        <f>462.06+4760.87+13.92+68.06</f>
        <v>5304.9100000000008</v>
      </c>
      <c r="D61" s="8">
        <f>462.06+4760.87+13.92+68.06</f>
        <v>5304.9100000000008</v>
      </c>
      <c r="E61" s="4" t="s">
        <v>218</v>
      </c>
      <c r="F61" s="7" t="s">
        <v>385</v>
      </c>
    </row>
    <row r="62" spans="1:6" x14ac:dyDescent="0.25">
      <c r="A62">
        <v>66</v>
      </c>
      <c r="B62" t="s">
        <v>386</v>
      </c>
      <c r="C62" s="12">
        <v>0</v>
      </c>
      <c r="D62" s="12">
        <v>0</v>
      </c>
      <c r="E62" s="4" t="s">
        <v>218</v>
      </c>
      <c r="F62" s="7" t="s">
        <v>385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34998626667073579"/>
  </sheetPr>
  <dimension ref="A1:F62"/>
  <sheetViews>
    <sheetView topLeftCell="A52" workbookViewId="0">
      <selection activeCell="B62" sqref="B6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3">
        <f>'[1]Reporte de Formatos'!S8</f>
        <v>8</v>
      </c>
      <c r="B4" s="3" t="s">
        <v>383</v>
      </c>
      <c r="C4" s="8">
        <f>13112.39-3546.66</f>
        <v>9565.73</v>
      </c>
      <c r="D4" s="8">
        <v>7008.91</v>
      </c>
      <c r="E4" s="3" t="s">
        <v>218</v>
      </c>
      <c r="F4" s="3" t="s">
        <v>384</v>
      </c>
    </row>
    <row r="5" spans="1:6" x14ac:dyDescent="0.25">
      <c r="A5" s="3">
        <f>'[1]Reporte de Formatos'!S9</f>
        <v>9</v>
      </c>
      <c r="B5" s="3" t="s">
        <v>383</v>
      </c>
      <c r="C5" s="8">
        <f>9386.58-2184.71</f>
        <v>7201.87</v>
      </c>
      <c r="D5" s="8">
        <v>3660.09</v>
      </c>
      <c r="E5" s="3" t="s">
        <v>218</v>
      </c>
      <c r="F5" s="3" t="s">
        <v>384</v>
      </c>
    </row>
    <row r="6" spans="1:6" x14ac:dyDescent="0.25">
      <c r="A6" s="3">
        <f>'[1]Reporte de Formatos'!S10</f>
        <v>10</v>
      </c>
      <c r="B6" s="3" t="s">
        <v>383</v>
      </c>
      <c r="C6" s="8">
        <f>25827.22-1290.07</f>
        <v>24537.15</v>
      </c>
      <c r="D6" s="8">
        <v>18248.13</v>
      </c>
      <c r="E6" s="3" t="s">
        <v>218</v>
      </c>
      <c r="F6" s="3" t="s">
        <v>384</v>
      </c>
    </row>
    <row r="7" spans="1:6" x14ac:dyDescent="0.25">
      <c r="A7" s="3">
        <f>'[1]Reporte de Formatos'!S11</f>
        <v>11</v>
      </c>
      <c r="B7" s="3" t="s">
        <v>383</v>
      </c>
      <c r="C7" s="8">
        <f>8998.36-2114.08</f>
        <v>6884.2800000000007</v>
      </c>
      <c r="D7" s="8">
        <v>3373.17</v>
      </c>
      <c r="E7" s="3" t="s">
        <v>218</v>
      </c>
      <c r="F7" s="3" t="s">
        <v>384</v>
      </c>
    </row>
    <row r="8" spans="1:6" x14ac:dyDescent="0.25">
      <c r="A8" s="3">
        <f>'[1]Reporte de Formatos'!S12</f>
        <v>12</v>
      </c>
      <c r="B8" s="3" t="s">
        <v>383</v>
      </c>
      <c r="C8" s="8">
        <f>17490.41-4990.41</f>
        <v>12500</v>
      </c>
      <c r="D8" s="8">
        <v>6387.1</v>
      </c>
      <c r="E8" s="3" t="s">
        <v>218</v>
      </c>
      <c r="F8" s="3" t="s">
        <v>384</v>
      </c>
    </row>
    <row r="9" spans="1:6" x14ac:dyDescent="0.25">
      <c r="A9" s="3">
        <f>'[1]Reporte de Formatos'!S13</f>
        <v>13</v>
      </c>
      <c r="B9" s="3" t="s">
        <v>383</v>
      </c>
      <c r="C9" s="8">
        <f>7982.6-2153.27</f>
        <v>5829.33</v>
      </c>
      <c r="D9" s="8">
        <v>3834.38</v>
      </c>
      <c r="E9" s="3" t="s">
        <v>218</v>
      </c>
      <c r="F9" s="3" t="s">
        <v>384</v>
      </c>
    </row>
    <row r="10" spans="1:6" x14ac:dyDescent="0.25">
      <c r="A10" s="3">
        <f>'[1]Reporte de Formatos'!S14</f>
        <v>14</v>
      </c>
      <c r="B10" s="3" t="s">
        <v>383</v>
      </c>
      <c r="C10" s="8">
        <f>22999.51-7450.81</f>
        <v>15548.699999999997</v>
      </c>
      <c r="D10" s="8">
        <v>10085.44</v>
      </c>
      <c r="E10" s="3" t="s">
        <v>218</v>
      </c>
      <c r="F10" s="3" t="s">
        <v>384</v>
      </c>
    </row>
    <row r="11" spans="1:6" x14ac:dyDescent="0.25">
      <c r="A11" s="3">
        <f>'[1]Reporte de Formatos'!S15</f>
        <v>15</v>
      </c>
      <c r="B11" s="3" t="s">
        <v>383</v>
      </c>
      <c r="C11" s="8">
        <f>9301.06-2240.05</f>
        <v>7061.0099999999993</v>
      </c>
      <c r="D11" s="8">
        <v>4594.71</v>
      </c>
      <c r="E11" s="3" t="s">
        <v>218</v>
      </c>
      <c r="F11" s="3" t="s">
        <v>384</v>
      </c>
    </row>
    <row r="12" spans="1:6" x14ac:dyDescent="0.25">
      <c r="A12" s="3">
        <f>'[1]Reporte de Formatos'!S16</f>
        <v>16</v>
      </c>
      <c r="B12" s="3" t="s">
        <v>383</v>
      </c>
      <c r="C12" s="8">
        <f>9358.19-2258.92</f>
        <v>7099.27</v>
      </c>
      <c r="D12" s="8">
        <v>2431.75</v>
      </c>
      <c r="E12" s="3" t="s">
        <v>218</v>
      </c>
      <c r="F12" s="3" t="s">
        <v>384</v>
      </c>
    </row>
    <row r="13" spans="1:6" x14ac:dyDescent="0.25">
      <c r="A13" s="3">
        <f>'[1]Reporte de Formatos'!S17</f>
        <v>17</v>
      </c>
      <c r="B13" s="3" t="s">
        <v>383</v>
      </c>
      <c r="C13" s="8">
        <f>8317.86-2153.08</f>
        <v>6164.7800000000007</v>
      </c>
      <c r="D13" s="8">
        <v>4224.09</v>
      </c>
      <c r="E13" s="3" t="s">
        <v>218</v>
      </c>
      <c r="F13" s="3" t="s">
        <v>384</v>
      </c>
    </row>
    <row r="14" spans="1:6" x14ac:dyDescent="0.25">
      <c r="A14" s="3">
        <f>'[1]Reporte de Formatos'!S18</f>
        <v>18</v>
      </c>
      <c r="B14" s="3" t="s">
        <v>383</v>
      </c>
      <c r="C14" s="8">
        <f>9380.84-2259.02</f>
        <v>7121.82</v>
      </c>
      <c r="D14" s="8">
        <v>3046.5</v>
      </c>
      <c r="E14" s="3" t="s">
        <v>218</v>
      </c>
      <c r="F14" s="3" t="s">
        <v>384</v>
      </c>
    </row>
    <row r="15" spans="1:6" x14ac:dyDescent="0.25">
      <c r="A15" s="3">
        <f>'[1]Reporte de Formatos'!S19</f>
        <v>19</v>
      </c>
      <c r="B15" s="3" t="s">
        <v>383</v>
      </c>
      <c r="C15" s="8">
        <f>9912.67-2258.92</f>
        <v>7653.75</v>
      </c>
      <c r="D15" s="8">
        <v>6054.19</v>
      </c>
      <c r="E15" s="3" t="s">
        <v>218</v>
      </c>
      <c r="F15" s="3" t="s">
        <v>384</v>
      </c>
    </row>
    <row r="16" spans="1:6" x14ac:dyDescent="0.25">
      <c r="A16" s="3">
        <f>'[1]Reporte de Formatos'!S20</f>
        <v>20</v>
      </c>
      <c r="B16" s="3" t="s">
        <v>383</v>
      </c>
      <c r="C16" s="8">
        <f>16834.66-993.43</f>
        <v>15841.23</v>
      </c>
      <c r="D16" s="8">
        <v>8424.76</v>
      </c>
      <c r="E16" s="3" t="s">
        <v>218</v>
      </c>
      <c r="F16" s="3" t="s">
        <v>384</v>
      </c>
    </row>
    <row r="17" spans="1:6" x14ac:dyDescent="0.25">
      <c r="A17" s="3">
        <f>'[1]Reporte de Formatos'!S21</f>
        <v>21</v>
      </c>
      <c r="B17" s="3" t="s">
        <v>383</v>
      </c>
      <c r="C17" s="8">
        <f>9384.01-2258.92</f>
        <v>7125.09</v>
      </c>
      <c r="D17" s="8">
        <v>3669.59</v>
      </c>
      <c r="E17" s="3" t="s">
        <v>218</v>
      </c>
      <c r="F17" s="3" t="s">
        <v>384</v>
      </c>
    </row>
    <row r="18" spans="1:6" x14ac:dyDescent="0.25">
      <c r="A18" s="3">
        <f>'[1]Reporte de Formatos'!S22</f>
        <v>22</v>
      </c>
      <c r="B18" s="3" t="s">
        <v>383</v>
      </c>
      <c r="C18" s="8">
        <f>16797.29-4867.2</f>
        <v>11930.09</v>
      </c>
      <c r="D18" s="8">
        <v>8904.7800000000007</v>
      </c>
      <c r="E18" s="3" t="s">
        <v>218</v>
      </c>
      <c r="F18" s="3" t="s">
        <v>384</v>
      </c>
    </row>
    <row r="19" spans="1:6" x14ac:dyDescent="0.25">
      <c r="A19" s="3">
        <f>'[1]Reporte de Formatos'!S23</f>
        <v>23</v>
      </c>
      <c r="B19" s="3" t="s">
        <v>383</v>
      </c>
      <c r="C19" s="8">
        <f>9611.07-2174.07</f>
        <v>7437</v>
      </c>
      <c r="D19" s="8">
        <v>6071.62</v>
      </c>
      <c r="E19" s="3" t="s">
        <v>218</v>
      </c>
      <c r="F19" s="3" t="s">
        <v>384</v>
      </c>
    </row>
    <row r="20" spans="1:6" x14ac:dyDescent="0.25">
      <c r="A20" s="3">
        <f>'[1]Reporte de Formatos'!S24</f>
        <v>24</v>
      </c>
      <c r="B20" s="3" t="s">
        <v>383</v>
      </c>
      <c r="C20" s="8">
        <f>7697.21-2153.08</f>
        <v>5544.13</v>
      </c>
      <c r="D20" s="8">
        <v>2521.2800000000002</v>
      </c>
      <c r="E20" s="3" t="s">
        <v>218</v>
      </c>
      <c r="F20" s="3" t="s">
        <v>384</v>
      </c>
    </row>
    <row r="21" spans="1:6" x14ac:dyDescent="0.25">
      <c r="A21" s="3">
        <f>'[1]Reporte de Formatos'!S25</f>
        <v>25</v>
      </c>
      <c r="B21" s="3" t="s">
        <v>383</v>
      </c>
      <c r="C21" s="8">
        <f>6887.85-1698.06</f>
        <v>5189.7900000000009</v>
      </c>
      <c r="D21" s="8">
        <v>4024.01</v>
      </c>
      <c r="E21" s="3" t="s">
        <v>218</v>
      </c>
      <c r="F21" s="3" t="s">
        <v>384</v>
      </c>
    </row>
    <row r="22" spans="1:6" x14ac:dyDescent="0.25">
      <c r="A22" s="3">
        <f>'[1]Reporte de Formatos'!S26</f>
        <v>26</v>
      </c>
      <c r="B22" s="3" t="s">
        <v>383</v>
      </c>
      <c r="C22" s="8">
        <f>17420.19-5057.12</f>
        <v>12363.07</v>
      </c>
      <c r="D22" s="8">
        <v>6671.63</v>
      </c>
      <c r="E22" s="3" t="s">
        <v>218</v>
      </c>
      <c r="F22" s="3" t="s">
        <v>384</v>
      </c>
    </row>
    <row r="23" spans="1:6" x14ac:dyDescent="0.25">
      <c r="A23" s="3">
        <f>'[1]Reporte de Formatos'!S27</f>
        <v>27</v>
      </c>
      <c r="B23" s="3" t="s">
        <v>383</v>
      </c>
      <c r="C23" s="8">
        <f>6659.2-1429.67</f>
        <v>5229.53</v>
      </c>
      <c r="D23" s="8">
        <v>4529.55</v>
      </c>
      <c r="E23" s="3" t="s">
        <v>218</v>
      </c>
      <c r="F23" s="3" t="s">
        <v>384</v>
      </c>
    </row>
    <row r="24" spans="1:6" x14ac:dyDescent="0.25">
      <c r="A24" s="3">
        <f>'[1]Reporte de Formatos'!S28</f>
        <v>28</v>
      </c>
      <c r="B24" s="3" t="s">
        <v>383</v>
      </c>
      <c r="C24" s="8">
        <f>9341.38-2259.02</f>
        <v>7082.3599999999988</v>
      </c>
      <c r="D24" s="8">
        <v>3127.86</v>
      </c>
      <c r="E24" s="3" t="s">
        <v>218</v>
      </c>
      <c r="F24" s="3" t="s">
        <v>384</v>
      </c>
    </row>
    <row r="25" spans="1:6" x14ac:dyDescent="0.25">
      <c r="A25" s="3">
        <f>'[1]Reporte de Formatos'!S29</f>
        <v>29</v>
      </c>
      <c r="B25" s="3" t="s">
        <v>383</v>
      </c>
      <c r="C25" s="8">
        <f>9982.35-2153.08</f>
        <v>7829.27</v>
      </c>
      <c r="D25" s="8">
        <v>3490.14</v>
      </c>
      <c r="E25" s="3" t="s">
        <v>218</v>
      </c>
      <c r="F25" s="3" t="s">
        <v>384</v>
      </c>
    </row>
    <row r="26" spans="1:6" x14ac:dyDescent="0.25">
      <c r="A26" s="3">
        <f>'[1]Reporte de Formatos'!S30</f>
        <v>30</v>
      </c>
      <c r="B26" s="3" t="s">
        <v>383</v>
      </c>
      <c r="C26" s="8">
        <f>11239.14-2843.48</f>
        <v>8395.66</v>
      </c>
      <c r="D26" s="8">
        <v>4774.67</v>
      </c>
      <c r="E26" s="3" t="s">
        <v>218</v>
      </c>
      <c r="F26" s="3" t="s">
        <v>384</v>
      </c>
    </row>
    <row r="27" spans="1:6" x14ac:dyDescent="0.25">
      <c r="A27" s="3">
        <f>'[1]Reporte de Formatos'!S31</f>
        <v>31</v>
      </c>
      <c r="B27" s="3" t="s">
        <v>383</v>
      </c>
      <c r="C27" s="8">
        <f>9955.63-2258.82</f>
        <v>7696.8099999999995</v>
      </c>
      <c r="D27" s="8">
        <v>4408.3999999999996</v>
      </c>
      <c r="E27" s="3" t="s">
        <v>218</v>
      </c>
      <c r="F27" s="3" t="s">
        <v>384</v>
      </c>
    </row>
    <row r="28" spans="1:6" x14ac:dyDescent="0.25">
      <c r="A28" s="3">
        <f>'[1]Reporte de Formatos'!S32</f>
        <v>32</v>
      </c>
      <c r="B28" s="3" t="s">
        <v>383</v>
      </c>
      <c r="C28" s="8">
        <f>6508.01-1387.19</f>
        <v>5120.82</v>
      </c>
      <c r="D28" s="8">
        <v>3415.44</v>
      </c>
      <c r="E28" s="3" t="s">
        <v>218</v>
      </c>
      <c r="F28" s="3" t="s">
        <v>384</v>
      </c>
    </row>
    <row r="29" spans="1:6" x14ac:dyDescent="0.25">
      <c r="A29" s="3">
        <f>'[1]Reporte de Formatos'!S33</f>
        <v>33</v>
      </c>
      <c r="B29" s="3" t="s">
        <v>383</v>
      </c>
      <c r="C29" s="8">
        <f>14237.27-4105.69</f>
        <v>10131.580000000002</v>
      </c>
      <c r="D29" s="8">
        <v>6119.81</v>
      </c>
      <c r="E29" s="3" t="s">
        <v>218</v>
      </c>
      <c r="F29" s="3" t="s">
        <v>384</v>
      </c>
    </row>
    <row r="30" spans="1:6" x14ac:dyDescent="0.25">
      <c r="A30" s="3">
        <f>'[1]Reporte de Formatos'!S34</f>
        <v>34</v>
      </c>
      <c r="B30" s="3" t="s">
        <v>383</v>
      </c>
      <c r="C30" s="8">
        <f>7930.77-1837.19</f>
        <v>6093.58</v>
      </c>
      <c r="D30" s="8">
        <v>867.97</v>
      </c>
      <c r="E30" s="3" t="s">
        <v>218</v>
      </c>
      <c r="F30" s="3" t="s">
        <v>384</v>
      </c>
    </row>
    <row r="31" spans="1:6" x14ac:dyDescent="0.25">
      <c r="A31" s="3">
        <f>'[1]Reporte de Formatos'!S35</f>
        <v>35</v>
      </c>
      <c r="B31" s="3" t="s">
        <v>383</v>
      </c>
      <c r="C31" s="8">
        <f>9011.18-2153.17</f>
        <v>6858.01</v>
      </c>
      <c r="D31" s="8">
        <v>5734.53</v>
      </c>
      <c r="E31" s="3" t="s">
        <v>218</v>
      </c>
      <c r="F31" s="3" t="s">
        <v>384</v>
      </c>
    </row>
    <row r="32" spans="1:6" x14ac:dyDescent="0.25">
      <c r="A32" s="3">
        <f>'[1]Reporte de Formatos'!S36</f>
        <v>36</v>
      </c>
      <c r="B32" s="3" t="s">
        <v>383</v>
      </c>
      <c r="C32" s="8">
        <f>19880.38-6221.22</f>
        <v>13659.16</v>
      </c>
      <c r="D32" s="8">
        <v>8331.16</v>
      </c>
      <c r="E32" s="3" t="s">
        <v>218</v>
      </c>
      <c r="F32" s="3" t="s">
        <v>384</v>
      </c>
    </row>
    <row r="33" spans="1:6" x14ac:dyDescent="0.25">
      <c r="A33" s="3">
        <f>'[1]Reporte de Formatos'!S37</f>
        <v>37</v>
      </c>
      <c r="B33" s="3" t="s">
        <v>383</v>
      </c>
      <c r="C33" s="8">
        <f>6684.75-1451.37</f>
        <v>5233.38</v>
      </c>
      <c r="D33" s="8">
        <v>1882.59</v>
      </c>
      <c r="E33" s="3" t="s">
        <v>218</v>
      </c>
      <c r="F33" s="3" t="s">
        <v>384</v>
      </c>
    </row>
    <row r="34" spans="1:6" x14ac:dyDescent="0.25">
      <c r="A34" s="3">
        <f>'[1]Reporte de Formatos'!S38</f>
        <v>38</v>
      </c>
      <c r="B34" s="3" t="s">
        <v>383</v>
      </c>
      <c r="C34" s="8">
        <f>13018.51-3668.69</f>
        <v>9349.82</v>
      </c>
      <c r="D34" s="8">
        <v>4249.51</v>
      </c>
      <c r="E34" s="3" t="s">
        <v>218</v>
      </c>
      <c r="F34" s="3" t="s">
        <v>384</v>
      </c>
    </row>
    <row r="35" spans="1:6" x14ac:dyDescent="0.25">
      <c r="A35" s="3">
        <f>'[1]Reporte de Formatos'!S39</f>
        <v>39</v>
      </c>
      <c r="B35" s="3" t="s">
        <v>383</v>
      </c>
      <c r="C35" s="8">
        <f>8735.16-2478.54</f>
        <v>6256.62</v>
      </c>
      <c r="D35" s="8">
        <v>5261.08</v>
      </c>
      <c r="E35" s="3" t="s">
        <v>218</v>
      </c>
      <c r="F35" s="3" t="s">
        <v>384</v>
      </c>
    </row>
    <row r="36" spans="1:6" x14ac:dyDescent="0.25">
      <c r="A36" s="3">
        <f>'[1]Reporte de Formatos'!S40</f>
        <v>40</v>
      </c>
      <c r="B36" s="3" t="s">
        <v>383</v>
      </c>
      <c r="C36" s="8">
        <f>9547.12-2347.54</f>
        <v>7199.5800000000008</v>
      </c>
      <c r="D36" s="8">
        <v>2946.74</v>
      </c>
      <c r="E36" s="3" t="s">
        <v>218</v>
      </c>
      <c r="F36" s="3" t="s">
        <v>384</v>
      </c>
    </row>
    <row r="37" spans="1:6" x14ac:dyDescent="0.25">
      <c r="A37" s="3">
        <f>'[1]Reporte de Formatos'!S41</f>
        <v>41</v>
      </c>
      <c r="B37" s="3" t="s">
        <v>383</v>
      </c>
      <c r="C37" s="8">
        <f>16582.29-5057.12</f>
        <v>11525.170000000002</v>
      </c>
      <c r="D37" s="8">
        <v>8593.86</v>
      </c>
      <c r="E37" s="3" t="s">
        <v>218</v>
      </c>
      <c r="F37" s="3" t="s">
        <v>384</v>
      </c>
    </row>
    <row r="38" spans="1:6" x14ac:dyDescent="0.25">
      <c r="A38" s="3">
        <f>'[1]Reporte de Formatos'!S42</f>
        <v>42</v>
      </c>
      <c r="B38" s="3" t="s">
        <v>383</v>
      </c>
      <c r="C38" s="8">
        <f>9955.63-2258.82</f>
        <v>7696.8099999999995</v>
      </c>
      <c r="D38" s="8">
        <v>5881.41</v>
      </c>
      <c r="E38" s="3" t="s">
        <v>218</v>
      </c>
      <c r="F38" s="3" t="s">
        <v>384</v>
      </c>
    </row>
    <row r="39" spans="1:6" x14ac:dyDescent="0.25">
      <c r="A39" s="3">
        <f>'[1]Reporte de Formatos'!S43</f>
        <v>43</v>
      </c>
      <c r="B39" s="3" t="s">
        <v>383</v>
      </c>
      <c r="C39" s="8">
        <f>6948.81-1561.84</f>
        <v>5386.97</v>
      </c>
      <c r="D39" s="8">
        <v>2647.9</v>
      </c>
      <c r="E39" s="3" t="s">
        <v>218</v>
      </c>
      <c r="F39" s="3" t="s">
        <v>384</v>
      </c>
    </row>
    <row r="40" spans="1:6" x14ac:dyDescent="0.25">
      <c r="A40" s="3">
        <f>'[1]Reporte de Formatos'!S44</f>
        <v>44</v>
      </c>
      <c r="B40" s="3" t="s">
        <v>383</v>
      </c>
      <c r="C40" s="8">
        <f>8004.03-2258.92</f>
        <v>5745.11</v>
      </c>
      <c r="D40" s="8">
        <v>4834.38</v>
      </c>
      <c r="E40" s="3" t="s">
        <v>218</v>
      </c>
      <c r="F40" s="3" t="s">
        <v>384</v>
      </c>
    </row>
    <row r="41" spans="1:6" x14ac:dyDescent="0.25">
      <c r="A41" s="3">
        <f>'[1]Reporte de Formatos'!S45</f>
        <v>45</v>
      </c>
      <c r="B41" s="3" t="s">
        <v>383</v>
      </c>
      <c r="C41" s="8">
        <f>7052.89-1567.25</f>
        <v>5485.64</v>
      </c>
      <c r="D41" s="8">
        <v>4711.5600000000004</v>
      </c>
      <c r="E41" s="3" t="s">
        <v>218</v>
      </c>
      <c r="F41" s="3" t="s">
        <v>384</v>
      </c>
    </row>
    <row r="42" spans="1:6" x14ac:dyDescent="0.25">
      <c r="A42" s="3">
        <f>'[1]Reporte de Formatos'!S46</f>
        <v>46</v>
      </c>
      <c r="B42" s="3" t="s">
        <v>383</v>
      </c>
      <c r="C42" s="8">
        <f>10888.75-2856.45</f>
        <v>8032.3</v>
      </c>
      <c r="D42" s="8">
        <v>3297.7</v>
      </c>
      <c r="E42" s="3" t="s">
        <v>218</v>
      </c>
      <c r="F42" s="3" t="s">
        <v>384</v>
      </c>
    </row>
    <row r="43" spans="1:6" x14ac:dyDescent="0.25">
      <c r="A43" s="3">
        <f>'[1]Reporte de Formatos'!S47</f>
        <v>47</v>
      </c>
      <c r="B43" s="3" t="s">
        <v>383</v>
      </c>
      <c r="C43" s="8">
        <f>9427.04-2239.86</f>
        <v>7187.18</v>
      </c>
      <c r="D43" s="8">
        <v>902.31</v>
      </c>
      <c r="E43" s="3" t="s">
        <v>218</v>
      </c>
      <c r="F43" s="3" t="s">
        <v>384</v>
      </c>
    </row>
    <row r="44" spans="1:6" x14ac:dyDescent="0.25">
      <c r="A44" s="3">
        <f>'[1]Reporte de Formatos'!S48</f>
        <v>48</v>
      </c>
      <c r="B44" s="3" t="s">
        <v>383</v>
      </c>
      <c r="C44" s="8">
        <f>16102.6-5057.12</f>
        <v>11045.48</v>
      </c>
      <c r="D44" s="8">
        <v>7815.52</v>
      </c>
      <c r="E44" s="3" t="s">
        <v>218</v>
      </c>
      <c r="F44" s="3" t="s">
        <v>384</v>
      </c>
    </row>
    <row r="45" spans="1:6" x14ac:dyDescent="0.25">
      <c r="A45" s="3">
        <f>'[1]Reporte de Formatos'!S49</f>
        <v>49</v>
      </c>
      <c r="B45" s="3" t="s">
        <v>383</v>
      </c>
      <c r="C45" s="8">
        <f>12690.11-3546.66</f>
        <v>9143.4500000000007</v>
      </c>
      <c r="D45" s="8">
        <v>7106.4</v>
      </c>
      <c r="E45" s="3" t="s">
        <v>218</v>
      </c>
      <c r="F45" s="3" t="s">
        <v>384</v>
      </c>
    </row>
    <row r="46" spans="1:6" x14ac:dyDescent="0.25">
      <c r="A46" s="3">
        <f>'[1]Reporte de Formatos'!S50</f>
        <v>50</v>
      </c>
      <c r="B46" s="3" t="s">
        <v>383</v>
      </c>
      <c r="C46" s="8">
        <f>21414.65-4068.82</f>
        <v>17345.830000000002</v>
      </c>
      <c r="D46" s="8">
        <v>12221.71</v>
      </c>
      <c r="E46" s="3" t="s">
        <v>218</v>
      </c>
      <c r="F46" s="3" t="s">
        <v>384</v>
      </c>
    </row>
    <row r="47" spans="1:6" x14ac:dyDescent="0.25">
      <c r="A47" s="3">
        <f>'[1]Reporte de Formatos'!S51</f>
        <v>51</v>
      </c>
      <c r="B47" s="3" t="s">
        <v>383</v>
      </c>
      <c r="C47" s="8">
        <f>9392.04-2258.92</f>
        <v>7133.1200000000008</v>
      </c>
      <c r="D47" s="8">
        <v>3216.98</v>
      </c>
      <c r="E47" s="3" t="s">
        <v>218</v>
      </c>
      <c r="F47" s="3" t="s">
        <v>384</v>
      </c>
    </row>
    <row r="48" spans="1:6" x14ac:dyDescent="0.25">
      <c r="A48" s="3">
        <f>'[1]Reporte de Formatos'!S52</f>
        <v>52</v>
      </c>
      <c r="B48" s="3" t="s">
        <v>383</v>
      </c>
      <c r="C48" s="8">
        <f>16397.32-4603.69</f>
        <v>11793.630000000001</v>
      </c>
      <c r="D48" s="8">
        <v>8322.16</v>
      </c>
      <c r="E48" s="3" t="s">
        <v>218</v>
      </c>
      <c r="F48" s="3" t="s">
        <v>384</v>
      </c>
    </row>
    <row r="49" spans="1:6" x14ac:dyDescent="0.25">
      <c r="A49" s="3">
        <f>'[1]Reporte de Formatos'!S53</f>
        <v>53</v>
      </c>
      <c r="B49" s="3" t="s">
        <v>383</v>
      </c>
      <c r="C49" s="8">
        <f>9313.83-2152.3</f>
        <v>7161.53</v>
      </c>
      <c r="D49" s="8">
        <v>2499.0300000000002</v>
      </c>
      <c r="E49" s="3" t="s">
        <v>218</v>
      </c>
      <c r="F49" s="3" t="s">
        <v>384</v>
      </c>
    </row>
    <row r="50" spans="1:6" x14ac:dyDescent="0.25">
      <c r="A50" s="3">
        <f>'[1]Reporte de Formatos'!S54</f>
        <v>54</v>
      </c>
      <c r="B50" s="3" t="s">
        <v>383</v>
      </c>
      <c r="C50" s="8">
        <f>9732.8-2258.92</f>
        <v>7473.8799999999992</v>
      </c>
      <c r="D50" s="8">
        <v>5668.69</v>
      </c>
      <c r="E50" s="3" t="s">
        <v>218</v>
      </c>
      <c r="F50" s="3" t="s">
        <v>384</v>
      </c>
    </row>
    <row r="51" spans="1:6" x14ac:dyDescent="0.25">
      <c r="A51" s="3">
        <f>'[1]Reporte de Formatos'!S55</f>
        <v>55</v>
      </c>
      <c r="B51" s="3" t="s">
        <v>383</v>
      </c>
      <c r="C51" s="8">
        <f>17759.73-5340.41</f>
        <v>12419.32</v>
      </c>
      <c r="D51" s="8">
        <v>5558.56</v>
      </c>
      <c r="E51" s="3" t="s">
        <v>218</v>
      </c>
      <c r="F51" s="3" t="s">
        <v>384</v>
      </c>
    </row>
    <row r="52" spans="1:6" x14ac:dyDescent="0.25">
      <c r="A52" s="3">
        <f>'[1]Reporte de Formatos'!S56</f>
        <v>56</v>
      </c>
      <c r="B52" s="3" t="s">
        <v>383</v>
      </c>
      <c r="C52" s="8">
        <f>7897.15-2153.08</f>
        <v>5744.07</v>
      </c>
      <c r="D52" s="8">
        <v>5558.56</v>
      </c>
      <c r="E52" s="3" t="s">
        <v>218</v>
      </c>
      <c r="F52" s="3" t="s">
        <v>384</v>
      </c>
    </row>
    <row r="53" spans="1:6" x14ac:dyDescent="0.25">
      <c r="A53" s="3">
        <f>'[1]Reporte de Formatos'!S57</f>
        <v>57</v>
      </c>
      <c r="B53" s="3" t="s">
        <v>383</v>
      </c>
      <c r="C53" s="8">
        <f>7489.37-2153.08</f>
        <v>5336.29</v>
      </c>
      <c r="D53" s="8">
        <v>4177.45</v>
      </c>
      <c r="E53" s="3" t="s">
        <v>218</v>
      </c>
      <c r="F53" s="3" t="s">
        <v>384</v>
      </c>
    </row>
    <row r="54" spans="1:6" x14ac:dyDescent="0.25">
      <c r="A54" s="3">
        <f>'[1]Reporte de Formatos'!S58</f>
        <v>58</v>
      </c>
      <c r="B54" s="3" t="s">
        <v>383</v>
      </c>
      <c r="C54" s="8">
        <f>7214.99-2090.77</f>
        <v>5124.2199999999993</v>
      </c>
      <c r="D54" s="8">
        <v>4522.3500000000004</v>
      </c>
      <c r="E54" s="3" t="s">
        <v>218</v>
      </c>
      <c r="F54" s="3" t="s">
        <v>384</v>
      </c>
    </row>
    <row r="55" spans="1:6" x14ac:dyDescent="0.25">
      <c r="A55" s="3">
        <f>'[1]Reporte de Formatos'!S59</f>
        <v>59</v>
      </c>
      <c r="B55" s="3" t="s">
        <v>383</v>
      </c>
      <c r="C55" s="8">
        <f>8651.4-2090.77</f>
        <v>6560.6299999999992</v>
      </c>
      <c r="D55" s="8">
        <v>3725.58</v>
      </c>
      <c r="E55" s="3" t="s">
        <v>218</v>
      </c>
      <c r="F55" s="3" t="s">
        <v>384</v>
      </c>
    </row>
    <row r="56" spans="1:6" x14ac:dyDescent="0.25">
      <c r="A56" s="3">
        <f>'[1]Reporte de Formatos'!S60</f>
        <v>60</v>
      </c>
      <c r="B56" s="3" t="s">
        <v>383</v>
      </c>
      <c r="C56" s="8">
        <f>17756.35-5340.41</f>
        <v>12415.939999999999</v>
      </c>
      <c r="D56" s="8">
        <v>1321.02</v>
      </c>
      <c r="E56" s="3" t="s">
        <v>218</v>
      </c>
      <c r="F56" s="3" t="s">
        <v>384</v>
      </c>
    </row>
    <row r="57" spans="1:6" x14ac:dyDescent="0.25">
      <c r="A57" s="3">
        <f>'[1]Reporte de Formatos'!S61</f>
        <v>61</v>
      </c>
      <c r="B57" s="3" t="s">
        <v>383</v>
      </c>
      <c r="C57" s="8">
        <f>6932.97-1699.12</f>
        <v>5233.8500000000004</v>
      </c>
      <c r="D57" s="8">
        <v>5962.48</v>
      </c>
      <c r="E57" s="3" t="s">
        <v>218</v>
      </c>
      <c r="F57" s="3" t="s">
        <v>384</v>
      </c>
    </row>
    <row r="58" spans="1:6" x14ac:dyDescent="0.25">
      <c r="A58" s="3">
        <f>'[1]Reporte de Formatos'!S62</f>
        <v>62</v>
      </c>
      <c r="B58" s="3" t="s">
        <v>383</v>
      </c>
      <c r="C58" s="8">
        <f>6632.55-1404.36</f>
        <v>5228.1900000000005</v>
      </c>
      <c r="D58" s="8">
        <v>4514.37</v>
      </c>
      <c r="E58" s="3" t="s">
        <v>218</v>
      </c>
      <c r="F58" s="3" t="s">
        <v>384</v>
      </c>
    </row>
    <row r="59" spans="1:6" x14ac:dyDescent="0.25">
      <c r="A59" s="3">
        <f>'[1]Reporte de Formatos'!S63</f>
        <v>63</v>
      </c>
      <c r="B59" s="3" t="s">
        <v>383</v>
      </c>
      <c r="C59" s="8">
        <f>8998.22-2066.09</f>
        <v>6932.1299999999992</v>
      </c>
      <c r="D59" s="8">
        <v>5735.41</v>
      </c>
      <c r="E59" s="3" t="s">
        <v>218</v>
      </c>
      <c r="F59" s="3" t="s">
        <v>384</v>
      </c>
    </row>
    <row r="60" spans="1:6" x14ac:dyDescent="0.25">
      <c r="A60" s="3">
        <f>'[1]Reporte de Formatos'!S64</f>
        <v>64</v>
      </c>
      <c r="B60" s="3" t="s">
        <v>383</v>
      </c>
      <c r="C60" s="8">
        <f>10034.68-2632.37</f>
        <v>7402.31</v>
      </c>
      <c r="D60" s="8">
        <v>3452.18</v>
      </c>
      <c r="E60" s="3" t="s">
        <v>218</v>
      </c>
      <c r="F60" s="3" t="s">
        <v>384</v>
      </c>
    </row>
    <row r="61" spans="1:6" x14ac:dyDescent="0.25">
      <c r="A61" s="3">
        <f>'[1]Reporte de Formatos'!S65</f>
        <v>65</v>
      </c>
      <c r="B61" s="3" t="s">
        <v>383</v>
      </c>
      <c r="C61" s="8">
        <f>17816.93-499.46</f>
        <v>17317.47</v>
      </c>
      <c r="D61" s="8">
        <v>13373.85</v>
      </c>
      <c r="E61" s="3" t="s">
        <v>218</v>
      </c>
      <c r="F61" s="3" t="s">
        <v>384</v>
      </c>
    </row>
    <row r="62" spans="1:6" x14ac:dyDescent="0.25">
      <c r="A62" s="3">
        <f>'[1]Reporte de Formatos'!S66</f>
        <v>66</v>
      </c>
      <c r="B62" s="3" t="s">
        <v>383</v>
      </c>
      <c r="C62" s="8">
        <f>5758.03-187.2</f>
        <v>5570.83</v>
      </c>
      <c r="D62" s="8">
        <v>4830.16</v>
      </c>
      <c r="E62" s="3" t="s">
        <v>218</v>
      </c>
      <c r="F62" s="3" t="s">
        <v>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2026-07-20T16:14:48Z</dcterms:created>
  <dcterms:modified xsi:type="dcterms:W3CDTF">2026-07-24T00:03:50Z</dcterms:modified>
</cp:coreProperties>
</file>